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0" windowWidth="18030" windowHeight="13200" tabRatio="861" activeTab="0"/>
  </bookViews>
  <sheets>
    <sheet name="Guide" sheetId="1" r:id="rId1"/>
    <sheet name="Scrimmage Scoring" sheetId="2" r:id="rId2"/>
    <sheet name="Ref Sheet" sheetId="3" r:id="rId3"/>
    <sheet name="Local Comp Teams" sheetId="4" r:id="rId4"/>
    <sheet name="Local Comp Scoring" sheetId="5" r:id="rId5"/>
    <sheet name="Director's Award" sheetId="6" r:id="rId6"/>
    <sheet name="Awards Summary" sheetId="7" r:id="rId7"/>
    <sheet name="Local Schedule" sheetId="8" r:id="rId8"/>
    <sheet name="Changes Log" sheetId="9" r:id="rId9"/>
  </sheets>
  <definedNames>
    <definedName name="A_BreakTime">'Local Comp Scoring'!$U$5</definedName>
    <definedName name="A_CycleTime">'Local Comp Scoring'!$U$7</definedName>
    <definedName name="A_StartTime">'Local Comp Scoring'!$U$6</definedName>
    <definedName name="B_BreakTime">'Local Comp Scoring'!$U$18</definedName>
    <definedName name="B_CycleTime">'Local Comp Scoring'!$U$20</definedName>
    <definedName name="B_StartTime">'Local Comp Scoring'!$U$19</definedName>
    <definedName name="C_BreakTime">'Local Comp Scoring'!$U$34</definedName>
    <definedName name="C_CycleTime">'Local Comp Scoring'!$U$36</definedName>
    <definedName name="C_StartTime">'Local Comp Scoring'!$U$35</definedName>
    <definedName name="D_BreakTime">'Local Comp Scoring'!$U$47</definedName>
    <definedName name="D_CycleTime">'Local Comp Scoring'!$U$49</definedName>
    <definedName name="D_StartTime">'Local Comp Scoring'!$U$48</definedName>
    <definedName name="E_BreakTime">'Local Comp Scoring'!$U$63</definedName>
    <definedName name="E_CycleTime">'Local Comp Scoring'!$U$65</definedName>
    <definedName name="E_StartTime">'Local Comp Scoring'!$U$64</definedName>
    <definedName name="MatchAndJudgeTimes" localSheetId="7">'Local Schedule'!$A$1:$F$42</definedName>
    <definedName name="_xlnm.Print_Area" localSheetId="5">'Director''s Award'!$A$3:$R$36</definedName>
    <definedName name="_xlnm.Print_Area" localSheetId="4">'Local Comp Scoring'!$A$2:$T$16</definedName>
    <definedName name="_xlnm.Print_Area" localSheetId="3">'Local Comp Teams'!$A$1:$R$38</definedName>
    <definedName name="_xlnm.Print_Area" localSheetId="2">'Ref Sheet'!$A$1:$V$23</definedName>
    <definedName name="_xlnm.Print_Area" localSheetId="1">'Scrimmage Scoring'!$A$2:$U$128</definedName>
    <definedName name="_xlnm.Print_Titles" localSheetId="4">'Local Comp Scoring'!$2:$4</definedName>
    <definedName name="Team1">'Local Comp Teams'!$C$3</definedName>
    <definedName name="Team10">'Local Comp Teams'!$C$12</definedName>
    <definedName name="Team11">'Local Comp Teams'!$C$13</definedName>
    <definedName name="Team12">'Local Comp Teams'!$C$14</definedName>
    <definedName name="Team13">'Local Comp Teams'!$C$15</definedName>
    <definedName name="Team14">'Local Comp Teams'!$C$16</definedName>
    <definedName name="Team15">'Local Comp Teams'!$C$17</definedName>
    <definedName name="Team16">'Local Comp Teams'!$C$18</definedName>
    <definedName name="Team17">'Local Comp Teams'!$C$19</definedName>
    <definedName name="Team2">'Local Comp Teams'!$C$4</definedName>
    <definedName name="Team3">'Local Comp Teams'!$C$5</definedName>
    <definedName name="Team4">'Local Comp Teams'!$C$6</definedName>
    <definedName name="Team5">'Local Comp Teams'!$C$7</definedName>
    <definedName name="Team6">'Local Comp Teams'!$C$8</definedName>
    <definedName name="Team7">'Local Comp Teams'!$C$9</definedName>
    <definedName name="Team8">'Local Comp Teams'!$C$10</definedName>
    <definedName name="Team9">'Local Comp Teams'!$C$11</definedName>
  </definedNames>
  <calcPr fullCalcOnLoad="1"/>
</workbook>
</file>

<file path=xl/comments5.xml><?xml version="1.0" encoding="utf-8"?>
<comments xmlns="http://schemas.openxmlformats.org/spreadsheetml/2006/main">
  <authors>
    <author>Dan Fairfax</author>
  </authors>
  <commentList>
    <comment ref="D3" authorId="0">
      <text>
        <r>
          <rPr>
            <b/>
            <sz val="8"/>
            <color indexed="8"/>
            <rFont val="Tahoma"/>
            <family val="0"/>
          </rPr>
          <t>Dan Fairfax:</t>
        </r>
        <r>
          <rPr>
            <sz val="8"/>
            <color indexed="8"/>
            <rFont val="Tahoma"/>
            <family val="0"/>
          </rPr>
          <t xml:space="preserve">
Get the categories ahead of time so the sheet can can calculate the catagories.</t>
        </r>
      </text>
    </comment>
  </commentList>
</comments>
</file>

<file path=xl/sharedStrings.xml><?xml version="1.0" encoding="utf-8"?>
<sst xmlns="http://schemas.openxmlformats.org/spreadsheetml/2006/main" count="839" uniqueCount="283">
  <si>
    <t>Directions:</t>
  </si>
  <si>
    <r>
      <t xml:space="preserve">Make a </t>
    </r>
    <r>
      <rPr>
        <b/>
        <sz val="10"/>
        <rFont val="Arial"/>
        <family val="2"/>
      </rPr>
      <t>backup</t>
    </r>
    <r>
      <rPr>
        <sz val="10"/>
        <rFont val="Arial"/>
        <family val="2"/>
      </rPr>
      <t xml:space="preserve"> copy of this spreadsheet right now.</t>
    </r>
  </si>
  <si>
    <r>
      <t>Do not run</t>
    </r>
    <r>
      <rPr>
        <sz val="10"/>
        <rFont val="Arial"/>
        <family val="2"/>
      </rPr>
      <t xml:space="preserve"> any </t>
    </r>
    <r>
      <rPr>
        <b/>
        <sz val="10"/>
        <rFont val="Arial"/>
        <family val="2"/>
      </rPr>
      <t>other spreadsheets</t>
    </r>
    <r>
      <rPr>
        <sz val="10"/>
        <rFont val="Arial"/>
        <family val="2"/>
      </rPr>
      <t xml:space="preserve"> while you run this one.</t>
    </r>
  </si>
  <si>
    <r>
      <t xml:space="preserve">Click View, </t>
    </r>
    <r>
      <rPr>
        <b/>
        <sz val="10"/>
        <rFont val="Arial"/>
        <family val="2"/>
      </rPr>
      <t>Zoom…</t>
    </r>
    <r>
      <rPr>
        <sz val="10"/>
        <rFont val="Arial"/>
        <family val="2"/>
      </rPr>
      <t>, and experiment with different magnifications to arrive at a screen output that projects well.</t>
    </r>
  </si>
  <si>
    <r>
      <t>Frequently</t>
    </r>
    <r>
      <rPr>
        <sz val="10"/>
        <rFont val="Arial"/>
        <family val="2"/>
      </rPr>
      <t xml:space="preserve"> click </t>
    </r>
    <r>
      <rPr>
        <b/>
        <sz val="10"/>
        <rFont val="Arial"/>
        <family val="2"/>
      </rPr>
      <t>save</t>
    </r>
    <r>
      <rPr>
        <sz val="10"/>
        <rFont val="Arial"/>
        <family val="2"/>
      </rPr>
      <t xml:space="preserve"> during the competition.</t>
    </r>
  </si>
  <si>
    <r>
      <t xml:space="preserve">When you're finished, note the score and write it in pen on the </t>
    </r>
    <r>
      <rPr>
        <b/>
        <sz val="10"/>
        <rFont val="Arial"/>
        <family val="2"/>
      </rPr>
      <t>Ref Sheet</t>
    </r>
    <r>
      <rPr>
        <sz val="10"/>
        <rFont val="Arial"/>
        <family val="2"/>
      </rPr>
      <t>.  This is a hardcopy backup system.</t>
    </r>
  </si>
  <si>
    <r>
      <t>After  the A through D rounds</t>
    </r>
    <r>
      <rPr>
        <sz val="10"/>
        <rFont val="Arial"/>
        <family val="2"/>
      </rPr>
      <t xml:space="preserve"> scores are input and checked press </t>
    </r>
    <r>
      <rPr>
        <b/>
        <sz val="10"/>
        <color indexed="10"/>
        <rFont val="Arial"/>
        <family val="2"/>
      </rPr>
      <t>Control Key</t>
    </r>
    <r>
      <rPr>
        <sz val="10"/>
        <rFont val="Arial"/>
        <family val="2"/>
      </rPr>
      <t xml:space="preserve"> and the "</t>
    </r>
    <r>
      <rPr>
        <b/>
        <sz val="10"/>
        <color indexed="10"/>
        <rFont val="Arial"/>
        <family val="2"/>
      </rPr>
      <t>O</t>
    </r>
    <r>
      <rPr>
        <sz val="10"/>
        <rFont val="Arial"/>
        <family val="2"/>
      </rPr>
      <t>" key at the same time and the spreadsheet will automatically seed the teams moving on to the Playoffs.</t>
    </r>
  </si>
  <si>
    <r>
      <t>After  the Playoff round</t>
    </r>
    <r>
      <rPr>
        <sz val="10"/>
        <rFont val="Arial"/>
        <family val="2"/>
      </rPr>
      <t xml:space="preserve"> scores are input and checked the scorekeeper enters the winners of each match into the quarter final table.</t>
    </r>
  </si>
  <si>
    <r>
      <t>After the Quarter Final round</t>
    </r>
    <r>
      <rPr>
        <sz val="10"/>
        <rFont val="Arial"/>
        <family val="2"/>
      </rPr>
      <t xml:space="preserve"> scores are input and checked the scorekeeper enters the names of the quarterfinal match winners into the finals table </t>
    </r>
  </si>
  <si>
    <t>WHEN THE DAY IS DONE</t>
  </si>
  <si>
    <t>Celebrate a job well done with your team and coaches!!!!</t>
  </si>
  <si>
    <t>Station Protected</t>
  </si>
  <si>
    <t>Any Flag Up</t>
  </si>
  <si>
    <t>Flag Rows Up</t>
  </si>
  <si>
    <t>Off Ship</t>
  </si>
  <si>
    <t>At Base</t>
  </si>
  <si>
    <t>Dolphin Touching Blue</t>
  </si>
  <si>
    <t>Only Grey Moved</t>
  </si>
  <si>
    <t>On Blue</t>
  </si>
  <si>
    <t>Upright on Blue</t>
  </si>
  <si>
    <t>Touching L-Blue or in Base</t>
  </si>
  <si>
    <t>On Table</t>
  </si>
  <si>
    <t>In Base</t>
  </si>
  <si>
    <t>SCORE</t>
  </si>
  <si>
    <t>Pipe</t>
  </si>
  <si>
    <t>Pump</t>
  </si>
  <si>
    <t>Mapping</t>
  </si>
  <si>
    <t>Artifacts</t>
  </si>
  <si>
    <t>Fish</t>
  </si>
  <si>
    <t>Sub</t>
  </si>
  <si>
    <t>Reef</t>
  </si>
  <si>
    <t>Box</t>
  </si>
  <si>
    <t>Crates</t>
  </si>
  <si>
    <t>3 x 15</t>
  </si>
  <si>
    <t>8 x 2</t>
  </si>
  <si>
    <t>8 x 5</t>
  </si>
  <si>
    <t>#</t>
  </si>
  <si>
    <t>Table</t>
  </si>
  <si>
    <t>Time</t>
  </si>
  <si>
    <t>Team</t>
  </si>
  <si>
    <t>Max Score</t>
  </si>
  <si>
    <t>Y</t>
  </si>
  <si>
    <t>N</t>
  </si>
  <si>
    <r>
      <t xml:space="preserve">Enter the team names below.  The sheet should be "protected" so that people entering the scores do not inadvertantly mess up the formulas.  To enter the team names, select the "Tools/Protection/Unprotect Sheet" menu.  After entering the teams, turn protection back on by going to the "Tools/Protection/Protect Sheet" menu and select the contents, objects, and scenarios boxes and then click OK.
</t>
    </r>
    <r>
      <rPr>
        <b/>
        <sz val="14"/>
        <rFont val="Arial"/>
        <family val="2"/>
      </rPr>
      <t>First place scores will be highlighted in light blue and the second highest scores will be highlighted in yellow. Be sure and check for multiple teams that earn the first place score.</t>
    </r>
  </si>
  <si>
    <t>Number</t>
  </si>
  <si>
    <t>FLL #</t>
  </si>
  <si>
    <t>Coach</t>
  </si>
  <si>
    <t>Max</t>
  </si>
  <si>
    <t>Total</t>
  </si>
  <si>
    <t>Runs</t>
  </si>
  <si>
    <t>Average</t>
  </si>
  <si>
    <t>First Score</t>
  </si>
  <si>
    <t>Improvement</t>
  </si>
  <si>
    <t>Best (1st Place)</t>
  </si>
  <si>
    <t>Runner Up (2nd Place)</t>
  </si>
  <si>
    <t>DogBots</t>
  </si>
  <si>
    <t>Michael Schuh</t>
  </si>
  <si>
    <t>Gordon Elder/Linda Runke</t>
  </si>
  <si>
    <t>Rocking Robotics</t>
  </si>
  <si>
    <t>Yanjie Dong</t>
  </si>
  <si>
    <t>Team 18</t>
  </si>
  <si>
    <t>Team 19</t>
  </si>
  <si>
    <t>Team 20</t>
  </si>
  <si>
    <t>NOTE:</t>
  </si>
  <si>
    <t>While I have not tested it, I think that if you have more than 20 teams, you can probably</t>
  </si>
  <si>
    <t>enter new team rows in the list above by selecting the Team 20 row and then "inserting" a row.</t>
  </si>
  <si>
    <t>Some of the above formulas are "Array" entries and must be entered with "Ctrl + Shift + Enter"</t>
  </si>
  <si>
    <t>Score Sheet</t>
  </si>
  <si>
    <t>Y or
Blank</t>
  </si>
  <si>
    <t>Count
1 to 3</t>
  </si>
  <si>
    <t>Count
1 to 8</t>
  </si>
  <si>
    <t>Scores</t>
  </si>
  <si>
    <t>Best Scores</t>
  </si>
  <si>
    <t>Average of top 3 Scores</t>
  </si>
  <si>
    <t>Round A</t>
  </si>
  <si>
    <t>Round B</t>
  </si>
  <si>
    <t>Round C</t>
  </si>
  <si>
    <t>Round D</t>
  </si>
  <si>
    <t>Dropped</t>
  </si>
  <si>
    <t>Rank</t>
  </si>
  <si>
    <t>Best Score Winners</t>
  </si>
  <si>
    <r>
      <t>Type</t>
    </r>
    <r>
      <rPr>
        <b/>
        <sz val="16"/>
        <color indexed="10"/>
        <rFont val="Arial"/>
        <family val="2"/>
      </rPr>
      <t xml:space="preserve"> Ctrl-w</t>
    </r>
    <r>
      <rPr>
        <b/>
        <sz val="14"/>
        <color indexed="10"/>
        <rFont val="Arial"/>
        <family val="2"/>
      </rPr>
      <t xml:space="preserve"> to determine the winners.  Do this after any changes in the scores above.</t>
    </r>
  </si>
  <si>
    <t>Highest Average Score Winners</t>
  </si>
  <si>
    <t>Best Scores
(Used for tie breakers)</t>
  </si>
  <si>
    <t>Award &gt;&gt;&gt;</t>
  </si>
  <si>
    <t>Innovative Design</t>
  </si>
  <si>
    <t>Programming</t>
  </si>
  <si>
    <t>Robot Performance</t>
  </si>
  <si>
    <t>Research Presentation</t>
  </si>
  <si>
    <t>Teamwork</t>
  </si>
  <si>
    <t>Weight</t>
  </si>
  <si>
    <t>Vibes</t>
  </si>
  <si>
    <t>Gifts</t>
  </si>
  <si>
    <t>Health</t>
  </si>
  <si>
    <t>Connections</t>
  </si>
  <si>
    <t>Qualifications</t>
  </si>
  <si>
    <t>MAX SCORE</t>
  </si>
  <si>
    <t>Performance</t>
  </si>
  <si>
    <t>Notes</t>
  </si>
  <si>
    <t>Weight &gt;&gt;&gt;</t>
  </si>
  <si>
    <t>Overall</t>
  </si>
  <si>
    <t>Enter Scores of 0 to 10 for Innovative Design through Teamwork</t>
  </si>
  <si>
    <t>Team Name</t>
  </si>
  <si>
    <t>Score (0-10 except for Max Score)</t>
  </si>
  <si>
    <t>The Max Score comes from the "Local Comp Scores" sheet cells K3-K19.</t>
  </si>
  <si>
    <t>Winners Team Name List</t>
  </si>
  <si>
    <t>Score</t>
  </si>
  <si>
    <t>Place</t>
  </si>
  <si>
    <t>Type Ctrl-j to determine the Judging Winners.  Do this after any changes in the scores above.</t>
  </si>
  <si>
    <t>AWARD TYPE:</t>
  </si>
  <si>
    <t xml:space="preserve">    Director's Award</t>
  </si>
  <si>
    <t>1st __________________________________</t>
  </si>
  <si>
    <t>2nd _________________________________</t>
  </si>
  <si>
    <t xml:space="preserve">    Innovative Design Award</t>
  </si>
  <si>
    <t xml:space="preserve">    Programming Award</t>
  </si>
  <si>
    <t xml:space="preserve">    Highest Score Award - Best score during all of the rounds (include the scores too)</t>
  </si>
  <si>
    <t xml:space="preserve">    Teamwork Award</t>
  </si>
  <si>
    <r>
      <t xml:space="preserve">  </t>
    </r>
    <r>
      <rPr>
        <b/>
        <sz val="10"/>
        <rFont val="Arial"/>
        <family val="2"/>
      </rPr>
      <t>Optional Awards:</t>
    </r>
  </si>
  <si>
    <t xml:space="preserve">    Outstanding Volunteer Award</t>
  </si>
  <si>
    <t xml:space="preserve">    Outstanding Coach Award</t>
  </si>
  <si>
    <t xml:space="preserve">    Outstanding Mentor Award</t>
  </si>
  <si>
    <t xml:space="preserve">    Outstanding Young Mentor Award</t>
  </si>
  <si>
    <t xml:space="preserve">    Rookie Team of the Year Award</t>
  </si>
  <si>
    <t xml:space="preserve">    Against All Odds Award</t>
  </si>
  <si>
    <t xml:space="preserve">    Team Spirit Award</t>
  </si>
  <si>
    <t xml:space="preserve">    Judges' Choice Award</t>
  </si>
  <si>
    <r>
      <t xml:space="preserve">  </t>
    </r>
    <r>
      <rPr>
        <b/>
        <sz val="10"/>
        <rFont val="Arial"/>
        <family val="2"/>
      </rPr>
      <t>Performance Awards:</t>
    </r>
  </si>
  <si>
    <t xml:space="preserve">      Robot Performance Award - Based on highest average score of best three rounds</t>
  </si>
  <si>
    <t>(include the scores too)</t>
  </si>
  <si>
    <t xml:space="preserve">          </t>
  </si>
  <si>
    <t>3rd___________________________________</t>
  </si>
  <si>
    <t>4th _________________________________</t>
  </si>
  <si>
    <t xml:space="preserve">      State Competiton Qualifying</t>
  </si>
  <si>
    <t>3rd ____________________________</t>
  </si>
  <si>
    <t>4th __________________________________</t>
  </si>
  <si>
    <t>Judging Schedule</t>
  </si>
  <si>
    <t xml:space="preserve"> </t>
  </si>
  <si>
    <t>A</t>
  </si>
  <si>
    <t>B</t>
  </si>
  <si>
    <t>C</t>
  </si>
  <si>
    <t>D</t>
  </si>
  <si>
    <r>
      <t xml:space="preserve">Be sure and check out the </t>
    </r>
    <r>
      <rPr>
        <b/>
        <sz val="10"/>
        <rFont val="Arial"/>
        <family val="2"/>
      </rPr>
      <t xml:space="preserve">Wish List </t>
    </r>
    <r>
      <rPr>
        <sz val="10"/>
        <rFont val="Arial"/>
        <family val="2"/>
      </rPr>
      <t xml:space="preserve">and </t>
    </r>
    <r>
      <rPr>
        <b/>
        <sz val="10"/>
        <rFont val="Arial"/>
        <family val="2"/>
      </rPr>
      <t>Notes</t>
    </r>
    <r>
      <rPr>
        <sz val="10"/>
        <rFont val="Arial"/>
        <family val="2"/>
      </rPr>
      <t xml:space="preserve"> at the bottom of this sheet.</t>
    </r>
  </si>
  <si>
    <t>Version</t>
  </si>
  <si>
    <t>Date</t>
  </si>
  <si>
    <t>Who</t>
  </si>
  <si>
    <t>Comments</t>
  </si>
  <si>
    <t>People</t>
  </si>
  <si>
    <t>Michael &amp; Dave</t>
  </si>
  <si>
    <t>Designed table headers and lay out.</t>
  </si>
  <si>
    <t>Dave Lordemann</t>
  </si>
  <si>
    <t>Los Altos Assistant Coach &amp; Competition Head Judge</t>
  </si>
  <si>
    <t>Michael &amp; Austin Schuh</t>
  </si>
  <si>
    <t>First Cut at 2005 Score Sheet.  Austin did 95% of the work.  He improved the error checking and protected cell protections.</t>
  </si>
  <si>
    <t>Los Altos California team coordinator and coach</t>
  </si>
  <si>
    <t>Austin Schuh</t>
  </si>
  <si>
    <t>Michael Schuh's son and FLL team member.</t>
  </si>
  <si>
    <t>2004 Season: No Limits</t>
  </si>
  <si>
    <t>First Cut at 2004 Score Sheet</t>
  </si>
  <si>
    <t>Stripped out all Macros</t>
  </si>
  <si>
    <t>Powers, Schuh, &amp; Weigel</t>
  </si>
  <si>
    <t>Fixed Chairs scoring to be 10 points and added in Bus Signs</t>
  </si>
  <si>
    <t>Added Team Drop down and looked at computing winners.</t>
  </si>
  <si>
    <t>Figured out how to compute first and second place for all awards.</t>
  </si>
  <si>
    <t>Set up the Scrimmage sheet for 40 matches and up to 20 teams.  The sheet is ready to go for the October 17 Scrimmage.</t>
  </si>
  <si>
    <t>Schuh/Powers</t>
  </si>
  <si>
    <t>Added one more run to bring the total to 40.  Enlarged the score font and added numbers to the matches.  Split the Scrimmage sheet and froze it so that heading stays on top.</t>
  </si>
  <si>
    <t>Set up conditional formatting so a zero score is printed in white which hides the zero.</t>
  </si>
  <si>
    <t>Updated team names</t>
  </si>
  <si>
    <t>1.1O</t>
  </si>
  <si>
    <t>Corrected team number for TigerBots to 591.  Moxon gave me Loyola A &amp; B for his teams.</t>
  </si>
  <si>
    <t>Added team number 2616 for Steve Lovett.  First cut at Local competition.</t>
  </si>
  <si>
    <t>Added "Winners" (Ctrl-w) and "Judges" (Ctrl-j) macros.</t>
  </si>
  <si>
    <t>Ordered teams and redid judges schedule.  Added "Local Times" sheet.</t>
  </si>
  <si>
    <t>Put team names in and cleared the scores.</t>
  </si>
  <si>
    <t>Added awards summary sheet.</t>
  </si>
  <si>
    <t>Changed names of Loyola A &amp; B teams to Electric Pussycat and Catbot 2000</t>
  </si>
  <si>
    <t>Added some headers and footers to some of the pages.</t>
  </si>
  <si>
    <t>2003 Season: Mission Mars</t>
  </si>
  <si>
    <t>Scott Evans</t>
  </si>
  <si>
    <t>FLL Game Creator</t>
  </si>
  <si>
    <t>Original version from Scott Evans at FLL National</t>
  </si>
  <si>
    <t>Dan Fairfax</t>
  </si>
  <si>
    <t>Los Altos California team member parent</t>
  </si>
  <si>
    <t>Annette Powers</t>
  </si>
  <si>
    <t>Santa Cruz Mountains California coach</t>
  </si>
  <si>
    <t>First version of Local Comp file given out for review.</t>
  </si>
  <si>
    <t>Don Weigel</t>
  </si>
  <si>
    <t>Fixed link to another file problem.</t>
  </si>
  <si>
    <t>Updated the "Over all" sheet to include weights for the four categories we are going to use.</t>
  </si>
  <si>
    <t>Changed the name of the Computer Nerds to Red Rover and hid unused columns in the "Over all" sheet.</t>
  </si>
  <si>
    <t>Wish List:</t>
  </si>
  <si>
    <t>I would like the point size of the teams in the drop down list to be bigger so it is easier to read.</t>
  </si>
  <si>
    <t>No second place team should be identified if there are multiple first place winners.  Perhaps rows after first and second place in the Scrimmage sheet should be added with counts of the number of first and second places scores.</t>
  </si>
  <si>
    <t>Powers</t>
  </si>
  <si>
    <t>Add a listing of the team winners to the summary at the end.  Have this in addition to being able to pick the winners out of table.</t>
  </si>
  <si>
    <t>Implemented on 9/24/5 by Austin</t>
  </si>
  <si>
    <t>Have the score not compute if there is an error like the robot in two different scoring positions at the same time.</t>
  </si>
  <si>
    <t>Notes:</t>
  </si>
  <si>
    <r>
      <t xml:space="preserve">Protection </t>
    </r>
    <r>
      <rPr>
        <sz val="10"/>
        <rFont val="Arial"/>
        <family val="2"/>
      </rPr>
      <t>for the worksheet is controlled by using Tools/Protection/ProtectSheet to turn it on for the whole sheet, using Tools/Protection/UnprotectSheet to turn it off to allow changes, and using Format/Cells and clicking Protection and unclicking Locked to let users change it while it is protected.</t>
    </r>
  </si>
  <si>
    <t>Use Data/Validation to set the type of data that can be inputed, error messages, balloon text, and the drop down box contents.</t>
  </si>
  <si>
    <t>Los Altos Robotics</t>
  </si>
  <si>
    <t>Los Altos Robotics Scrimmage</t>
  </si>
  <si>
    <r>
      <t xml:space="preserve">Ocean Odyssey Score Sheet    </t>
    </r>
    <r>
      <rPr>
        <b/>
        <sz val="16"/>
        <color indexed="10"/>
        <rFont val="Tahoma"/>
        <family val="2"/>
      </rPr>
      <t>Max</t>
    </r>
  </si>
  <si>
    <r>
      <t>Before</t>
    </r>
    <r>
      <rPr>
        <sz val="10"/>
        <rFont val="Arial"/>
        <family val="2"/>
      </rPr>
      <t xml:space="preserve"> the tournament, print the </t>
    </r>
    <r>
      <rPr>
        <b/>
        <sz val="10"/>
        <color indexed="10"/>
        <rFont val="Arial"/>
        <family val="2"/>
      </rPr>
      <t>Ref Sheet</t>
    </r>
    <r>
      <rPr>
        <sz val="10"/>
        <rFont val="Arial"/>
        <family val="2"/>
      </rPr>
      <t>, make one copy per team per round, and give them to the referees on clip boards.  Enter the team names in the list at the bottom of the scoring section of the Scrimmage Sheet.  This is also where you will find the winners and second place teams identified.</t>
    </r>
  </si>
  <si>
    <r>
      <t xml:space="preserve">If </t>
    </r>
    <r>
      <rPr>
        <b/>
        <sz val="10"/>
        <rFont val="Arial"/>
        <family val="2"/>
      </rPr>
      <t>Sheet Tabs</t>
    </r>
    <r>
      <rPr>
        <sz val="10"/>
        <rFont val="Arial"/>
        <family val="2"/>
      </rPr>
      <t xml:space="preserve"> are not visible at the bottom of the screen, make them visible by clicking Tools, Options, the "view" tab of the Options window, and then put a check in the Sheet Tabs check box.</t>
    </r>
  </si>
  <si>
    <r>
      <t xml:space="preserve">When a referee hands you a </t>
    </r>
    <r>
      <rPr>
        <b/>
        <sz val="10"/>
        <rFont val="Arial"/>
        <family val="2"/>
      </rPr>
      <t>Ref Sheet</t>
    </r>
    <r>
      <rPr>
        <sz val="10"/>
        <rFont val="Arial"/>
        <family val="2"/>
      </rPr>
      <t>, enter the data.</t>
    </r>
  </si>
  <si>
    <r>
      <t xml:space="preserve">Then go to the Scoring </t>
    </r>
    <r>
      <rPr>
        <b/>
        <sz val="10"/>
        <rFont val="Arial"/>
        <family val="2"/>
      </rPr>
      <t xml:space="preserve">Poster </t>
    </r>
    <r>
      <rPr>
        <sz val="10"/>
        <rFont val="Arial"/>
        <family val="2"/>
      </rPr>
      <t xml:space="preserve">and with a marking pen enter the score and results for the </t>
    </r>
    <r>
      <rPr>
        <b/>
        <sz val="10"/>
        <rFont val="Arial"/>
        <family val="2"/>
      </rPr>
      <t>team</t>
    </r>
    <r>
      <rPr>
        <sz val="10"/>
        <rFont val="Arial"/>
        <family val="2"/>
      </rPr>
      <t xml:space="preserve"> in the </t>
    </r>
    <r>
      <rPr>
        <b/>
        <sz val="10"/>
        <rFont val="Arial"/>
        <family val="2"/>
      </rPr>
      <t>correct round/match</t>
    </r>
    <r>
      <rPr>
        <sz val="10"/>
        <rFont val="Arial"/>
        <family val="2"/>
      </rPr>
      <t>.</t>
    </r>
  </si>
  <si>
    <t>Scoring Results:</t>
  </si>
  <si>
    <r>
      <t xml:space="preserve">It is nice for the teams if you print extra blank </t>
    </r>
    <r>
      <rPr>
        <b/>
        <sz val="10"/>
        <rFont val="Arial"/>
        <family val="2"/>
      </rPr>
      <t>Ref Sheets</t>
    </r>
    <r>
      <rPr>
        <sz val="10"/>
        <rFont val="Arial"/>
        <family val="2"/>
      </rPr>
      <t xml:space="preserve"> and have them available near the Scoring Poster so that the teams can keep a record of their results.  These extra sheets are for the team's use only and not part of the official scoring.</t>
    </r>
  </si>
  <si>
    <r>
      <t xml:space="preserve">The results for the </t>
    </r>
    <r>
      <rPr>
        <b/>
        <sz val="12"/>
        <color indexed="57"/>
        <rFont val="Arial"/>
        <family val="2"/>
      </rPr>
      <t>Scrimmage</t>
    </r>
    <r>
      <rPr>
        <b/>
        <sz val="12"/>
        <rFont val="Arial"/>
        <family val="2"/>
      </rPr>
      <t xml:space="preserve"> are at the bottom of the </t>
    </r>
    <r>
      <rPr>
        <b/>
        <sz val="12"/>
        <color indexed="10"/>
        <rFont val="Arial"/>
        <family val="2"/>
      </rPr>
      <t>Scrimmage Scoring</t>
    </r>
    <r>
      <rPr>
        <b/>
        <sz val="12"/>
        <rFont val="Arial"/>
        <family val="2"/>
      </rPr>
      <t xml:space="preserve"> sheet where you enter the team names.  First and Second place finishers are automatically determined as the data is entered.</t>
    </r>
  </si>
  <si>
    <r>
      <t xml:space="preserve">The </t>
    </r>
    <r>
      <rPr>
        <b/>
        <sz val="12"/>
        <color indexed="10"/>
        <rFont val="Arial"/>
        <family val="2"/>
      </rPr>
      <t>Local Comp Teams</t>
    </r>
    <r>
      <rPr>
        <b/>
        <sz val="12"/>
        <rFont val="Arial"/>
        <family val="2"/>
      </rPr>
      <t xml:space="preserve"> sheet is the place to enter team numbers and names for the </t>
    </r>
    <r>
      <rPr>
        <b/>
        <sz val="12"/>
        <color indexed="57"/>
        <rFont val="Arial"/>
        <family val="2"/>
      </rPr>
      <t>Local Competition</t>
    </r>
    <r>
      <rPr>
        <b/>
        <sz val="12"/>
        <rFont val="Arial"/>
        <family val="2"/>
      </rPr>
      <t xml:space="preserve">.  For the </t>
    </r>
    <r>
      <rPr>
        <b/>
        <sz val="12"/>
        <color indexed="57"/>
        <rFont val="Arial"/>
        <family val="2"/>
      </rPr>
      <t>Scrimmage</t>
    </r>
    <r>
      <rPr>
        <b/>
        <sz val="12"/>
        <rFont val="Arial"/>
        <family val="2"/>
      </rPr>
      <t xml:space="preserve">, enter the team numbers and names at the bottom of the </t>
    </r>
    <r>
      <rPr>
        <b/>
        <sz val="12"/>
        <color indexed="10"/>
        <rFont val="Arial"/>
        <family val="2"/>
      </rPr>
      <t xml:space="preserve">Scrimmage Scoring </t>
    </r>
    <r>
      <rPr>
        <b/>
        <sz val="12"/>
        <rFont val="Arial"/>
        <family val="2"/>
      </rPr>
      <t>Sheet.</t>
    </r>
  </si>
  <si>
    <r>
      <t xml:space="preserve">The </t>
    </r>
    <r>
      <rPr>
        <b/>
        <sz val="12"/>
        <color indexed="10"/>
        <rFont val="Arial"/>
        <family val="2"/>
      </rPr>
      <t xml:space="preserve">Scrimmage Scoring </t>
    </r>
    <r>
      <rPr>
        <b/>
        <sz val="12"/>
        <rFont val="Arial"/>
        <family val="2"/>
      </rPr>
      <t xml:space="preserve">or </t>
    </r>
    <r>
      <rPr>
        <b/>
        <sz val="12"/>
        <color indexed="10"/>
        <rFont val="Arial"/>
        <family val="2"/>
      </rPr>
      <t>Local Comp Scoring</t>
    </r>
    <r>
      <rPr>
        <b/>
        <sz val="12"/>
        <rFont val="Arial"/>
        <family val="2"/>
      </rPr>
      <t xml:space="preserve"> sheet is the place to enter the data from each </t>
    </r>
    <r>
      <rPr>
        <b/>
        <sz val="12"/>
        <color indexed="10"/>
        <rFont val="Arial"/>
        <family val="2"/>
      </rPr>
      <t>Ref Sheet</t>
    </r>
    <r>
      <rPr>
        <b/>
        <sz val="12"/>
        <rFont val="Arial"/>
        <family val="2"/>
      </rPr>
      <t xml:space="preserve"> when it comes to you.</t>
    </r>
  </si>
  <si>
    <t>Data Entry:</t>
  </si>
  <si>
    <r>
      <t>Director's Award</t>
    </r>
    <r>
      <rPr>
        <sz val="10"/>
        <rFont val="Arial"/>
        <family val="2"/>
      </rPr>
      <t xml:space="preserve"> sheet is the place to enter each teams judging scores and have them rolled up with the other scores.</t>
    </r>
  </si>
  <si>
    <r>
      <t xml:space="preserve">Scoring Spreadsheet Guide
</t>
    </r>
    <r>
      <rPr>
        <sz val="14"/>
        <rFont val="Arial"/>
        <family val="2"/>
      </rPr>
      <t>This spreadsheet is designed for scoring both a Scrimmage and State Qualifying Regional Competition.  A Scrimmage is a practice tournament without any judging.  The Scrimmage has fun award categories like Highest Score.</t>
    </r>
  </si>
  <si>
    <r>
      <t>Los Altos FLL 2005:</t>
    </r>
    <r>
      <rPr>
        <b/>
        <i/>
        <sz val="26"/>
        <color indexed="23"/>
        <rFont val="Arial"/>
        <family val="2"/>
      </rPr>
      <t xml:space="preserve"> </t>
    </r>
    <r>
      <rPr>
        <b/>
        <i/>
        <sz val="26"/>
        <color indexed="44"/>
        <rFont val="Arial"/>
        <family val="2"/>
      </rPr>
      <t>Ocean Odyssey</t>
    </r>
  </si>
  <si>
    <r>
      <t xml:space="preserve">The results for the </t>
    </r>
    <r>
      <rPr>
        <b/>
        <sz val="12"/>
        <color indexed="57"/>
        <rFont val="Arial"/>
        <family val="2"/>
      </rPr>
      <t>Local Competition</t>
    </r>
    <r>
      <rPr>
        <b/>
        <sz val="12"/>
        <rFont val="Arial"/>
        <family val="2"/>
      </rPr>
      <t xml:space="preserve"> are located in two places.  The results for the competition scoring are tracked on the </t>
    </r>
    <r>
      <rPr>
        <b/>
        <sz val="12"/>
        <color indexed="10"/>
        <rFont val="Arial"/>
        <family val="2"/>
      </rPr>
      <t>Local Comp Teams</t>
    </r>
    <r>
      <rPr>
        <b/>
        <sz val="12"/>
        <rFont val="Arial"/>
        <family val="2"/>
      </rPr>
      <t xml:space="preserve"> sheet.  They are updated by running the Winner macro (Ctrl-w) which computes the Highest Score and Highest Average Score.  The results for the Judging are entered and rolled up on the </t>
    </r>
    <r>
      <rPr>
        <b/>
        <sz val="12"/>
        <color indexed="10"/>
        <rFont val="Arial"/>
        <family val="2"/>
      </rPr>
      <t>Director's Award</t>
    </r>
    <r>
      <rPr>
        <b/>
        <sz val="12"/>
        <rFont val="Arial"/>
        <family val="2"/>
      </rPr>
      <t xml:space="preserve"> sheet.</t>
    </r>
  </si>
  <si>
    <t>Michael</t>
  </si>
  <si>
    <t>Changed the margins on the ref sheet so it prints bigger.</t>
  </si>
  <si>
    <t>Michael, Austin, &amp; Parker</t>
  </si>
  <si>
    <t>Set up the scrimmage score sheet so it can be printed for the scrimmage scoring poster.</t>
  </si>
  <si>
    <t>Parker Schuh</t>
  </si>
  <si>
    <t>LEGO Legends</t>
  </si>
  <si>
    <t>Michael Schuh &amp; Dave Lordemann</t>
  </si>
  <si>
    <t>Tumbling Titanics</t>
  </si>
  <si>
    <t>Scott Shearer &amp; Mary Beth Pala</t>
  </si>
  <si>
    <t>Lords of the Legos</t>
  </si>
  <si>
    <t>Martin Van Ryswyk</t>
  </si>
  <si>
    <t>SEABEES</t>
  </si>
  <si>
    <t>Suzanne Montgomery</t>
  </si>
  <si>
    <t>Lego Stars</t>
  </si>
  <si>
    <t>Ragu Bhargava</t>
  </si>
  <si>
    <t>Gadget Group</t>
  </si>
  <si>
    <t>Mike Murray</t>
  </si>
  <si>
    <t>Defy Gravity</t>
  </si>
  <si>
    <t>Bill Welden</t>
  </si>
  <si>
    <t>Supersonic Turtles</t>
  </si>
  <si>
    <t>Ogen Perry</t>
  </si>
  <si>
    <t>AquaBots</t>
  </si>
  <si>
    <t>Tom Trembois</t>
  </si>
  <si>
    <t>Sea Cucumbers</t>
  </si>
  <si>
    <t>Vaishali Khandekar</t>
  </si>
  <si>
    <t>Gordon Elder &amp; Linda Runke</t>
  </si>
  <si>
    <t>Team 13</t>
  </si>
  <si>
    <t>Team 14</t>
  </si>
  <si>
    <t>Team 15</t>
  </si>
  <si>
    <t>Team 16</t>
  </si>
  <si>
    <t>Team 17</t>
  </si>
  <si>
    <t>2005 Season: Ocean Odyssey</t>
  </si>
  <si>
    <t>First cut at Local Comp Score Sheet</t>
  </si>
  <si>
    <t>Start Time</t>
  </si>
  <si>
    <t>Break Time</t>
  </si>
  <si>
    <t>Cycle Time</t>
  </si>
  <si>
    <t>Round E</t>
  </si>
  <si>
    <t>Eric Kurman</t>
  </si>
  <si>
    <t>Works for Flex Products in Santa Rosa.  Met on ORD to SFO flight.</t>
  </si>
  <si>
    <t>Michael &amp; Eric</t>
  </si>
  <si>
    <t>Fixed "Winner's Macro" and commented it.</t>
  </si>
  <si>
    <t>E</t>
  </si>
  <si>
    <t>Round</t>
  </si>
  <si>
    <t xml:space="preserve">    Research Project Award</t>
  </si>
  <si>
    <t>Tried to sort out the pairings and competition match order but failed.</t>
  </si>
  <si>
    <t>Reworked the Awards.</t>
  </si>
  <si>
    <t>Competition Round Schedule</t>
  </si>
  <si>
    <t>Match</t>
  </si>
  <si>
    <t>Table 1</t>
  </si>
  <si>
    <t>Table 2</t>
  </si>
  <si>
    <t>Session</t>
  </si>
  <si>
    <t>Robot Design 
Go to Judging Room</t>
  </si>
  <si>
    <t>Team Categories 
Go to Judging Room</t>
  </si>
  <si>
    <t>Programming 
Go to your Pit Table</t>
  </si>
  <si>
    <t>Added "Local Schedule" sheet and removed times and pairings sheets.  I do this with the Perl MatchTimes.perl script now.</t>
  </si>
  <si>
    <t>Michael, Austin, &amp; Jennifer</t>
  </si>
  <si>
    <t>Jennifer Hartney</t>
  </si>
  <si>
    <t>Head Score Keeper for the Scrimmage.  Oak School Parent.</t>
  </si>
  <si>
    <t>Updated the referee sheet to make it easier to transfer scores to the spread sheet by coloring the columns.</t>
  </si>
  <si>
    <t>Conditional Formatting goes down the list of conditional formats that were entered and applies the first format that is applicable.  It then does not apply any other formats below the first applicable format in the list.</t>
  </si>
  <si>
    <t>Updated the team list on the Scrimmage Scoring page.  We will use this version at the scrimmage.</t>
  </si>
  <si>
    <t>Yellow Flag Up</t>
  </si>
  <si>
    <t>Red Container At Base</t>
  </si>
  <si>
    <t>Los Altos Robotics
Local Competition
Oak School</t>
  </si>
  <si>
    <t>Ocean Odyssey Score Sheet</t>
  </si>
  <si>
    <r>
      <t xml:space="preserve">November 19, 2005                </t>
    </r>
    <r>
      <rPr>
        <b/>
        <sz val="16"/>
        <color indexed="10"/>
        <rFont val="Tahoma"/>
        <family val="2"/>
      </rPr>
      <t>Max</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</si>
</sst>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h:mm:ss\ AM/PM"/>
    <numFmt numFmtId="170" formatCode="h:mm;@"/>
  </numFmts>
  <fonts count="52">
    <font>
      <sz val="10"/>
      <name val="Arial"/>
      <family val="0"/>
    </font>
    <font>
      <sz val="10"/>
      <color indexed="8"/>
      <name val="Arial"/>
      <family val="0"/>
    </font>
    <font>
      <u val="single"/>
      <sz val="10"/>
      <color indexed="12"/>
      <name val="Arial"/>
      <family val="0"/>
    </font>
    <font>
      <u val="single"/>
      <sz val="10"/>
      <color indexed="20"/>
      <name val="Arial"/>
      <family val="0"/>
    </font>
    <font>
      <sz val="10"/>
      <color indexed="11"/>
      <name val="Arial"/>
      <family val="2"/>
    </font>
    <font>
      <b/>
      <sz val="26"/>
      <color indexed="10"/>
      <name val="Arial"/>
      <family val="2"/>
    </font>
    <font>
      <b/>
      <i/>
      <sz val="26"/>
      <color indexed="23"/>
      <name val="Arial"/>
      <family val="2"/>
    </font>
    <font>
      <b/>
      <sz val="16"/>
      <name val="Arial"/>
      <family val="2"/>
    </font>
    <font>
      <b/>
      <sz val="12"/>
      <name val="Arial"/>
      <family val="2"/>
    </font>
    <font>
      <b/>
      <sz val="10"/>
      <name val="Arial"/>
      <family val="2"/>
    </font>
    <font>
      <b/>
      <i/>
      <sz val="12"/>
      <name val="Arial"/>
      <family val="2"/>
    </font>
    <font>
      <b/>
      <sz val="10"/>
      <color indexed="10"/>
      <name val="Arial"/>
      <family val="2"/>
    </font>
    <font>
      <sz val="10"/>
      <name val="Tahoma"/>
      <family val="2"/>
    </font>
    <font>
      <b/>
      <sz val="20"/>
      <name val="Tahoma"/>
      <family val="2"/>
    </font>
    <font>
      <b/>
      <sz val="12"/>
      <name val="Tahoma"/>
      <family val="2"/>
    </font>
    <font>
      <b/>
      <sz val="16"/>
      <name val="Tahoma"/>
      <family val="2"/>
    </font>
    <font>
      <b/>
      <sz val="16"/>
      <color indexed="10"/>
      <name val="Tahoma"/>
      <family val="2"/>
    </font>
    <font>
      <sz val="12"/>
      <name val="Tahoma"/>
      <family val="2"/>
    </font>
    <font>
      <sz val="10"/>
      <color indexed="10"/>
      <name val="Tahoma"/>
      <family val="2"/>
    </font>
    <font>
      <sz val="12"/>
      <color indexed="10"/>
      <name val="Tahoma"/>
      <family val="2"/>
    </font>
    <font>
      <b/>
      <sz val="10"/>
      <color indexed="10"/>
      <name val="Tahoma"/>
      <family val="2"/>
    </font>
    <font>
      <b/>
      <sz val="18"/>
      <color indexed="10"/>
      <name val="Tahoma"/>
      <family val="2"/>
    </font>
    <font>
      <b/>
      <sz val="8"/>
      <color indexed="10"/>
      <name val="Tahoma"/>
      <family val="2"/>
    </font>
    <font>
      <b/>
      <sz val="12"/>
      <color indexed="10"/>
      <name val="Tahoma"/>
      <family val="2"/>
    </font>
    <font>
      <b/>
      <sz val="14"/>
      <name val="Tahoma"/>
      <family val="2"/>
    </font>
    <font>
      <b/>
      <sz val="18"/>
      <name val="Tahoma"/>
      <family val="2"/>
    </font>
    <font>
      <sz val="14"/>
      <name val="Tahoma"/>
      <family val="2"/>
    </font>
    <font>
      <sz val="14"/>
      <name val="Arial"/>
      <family val="2"/>
    </font>
    <font>
      <b/>
      <sz val="14"/>
      <name val="Arial"/>
      <family val="2"/>
    </font>
    <font>
      <b/>
      <sz val="20"/>
      <color indexed="8"/>
      <name val="Arial"/>
      <family val="2"/>
    </font>
    <font>
      <b/>
      <sz val="14"/>
      <color indexed="8"/>
      <name val="Arial"/>
      <family val="2"/>
    </font>
    <font>
      <sz val="14"/>
      <color indexed="8"/>
      <name val="Arial"/>
      <family val="2"/>
    </font>
    <font>
      <b/>
      <sz val="8"/>
      <color indexed="8"/>
      <name val="Tahoma"/>
      <family val="0"/>
    </font>
    <font>
      <sz val="8"/>
      <color indexed="8"/>
      <name val="Tahoma"/>
      <family val="0"/>
    </font>
    <font>
      <b/>
      <sz val="10"/>
      <name val="Tahoma"/>
      <family val="2"/>
    </font>
    <font>
      <b/>
      <sz val="20"/>
      <name val="Arial"/>
      <family val="2"/>
    </font>
    <font>
      <b/>
      <sz val="9"/>
      <name val="Arial"/>
      <family val="2"/>
    </font>
    <font>
      <b/>
      <sz val="11"/>
      <name val="Arial"/>
      <family val="2"/>
    </font>
    <font>
      <b/>
      <sz val="14"/>
      <color indexed="10"/>
      <name val="Arial"/>
      <family val="2"/>
    </font>
    <font>
      <b/>
      <sz val="16"/>
      <color indexed="10"/>
      <name val="Arial"/>
      <family val="2"/>
    </font>
    <font>
      <b/>
      <sz val="12"/>
      <color indexed="8"/>
      <name val="Arial"/>
      <family val="2"/>
    </font>
    <font>
      <b/>
      <sz val="8"/>
      <name val="Arial"/>
      <family val="2"/>
    </font>
    <font>
      <b/>
      <sz val="8"/>
      <color indexed="9"/>
      <name val="Arial"/>
      <family val="2"/>
    </font>
    <font>
      <b/>
      <sz val="10"/>
      <color indexed="9"/>
      <name val="Arial"/>
      <family val="2"/>
    </font>
    <font>
      <b/>
      <sz val="10"/>
      <color indexed="8"/>
      <name val="Arial"/>
      <family val="2"/>
    </font>
    <font>
      <sz val="8"/>
      <name val="Arial"/>
      <family val="2"/>
    </font>
    <font>
      <b/>
      <sz val="12"/>
      <color indexed="10"/>
      <name val="Arial"/>
      <family val="2"/>
    </font>
    <font>
      <b/>
      <sz val="12"/>
      <color indexed="57"/>
      <name val="Arial"/>
      <family val="2"/>
    </font>
    <font>
      <b/>
      <i/>
      <sz val="26"/>
      <color indexed="44"/>
      <name val="Arial"/>
      <family val="2"/>
    </font>
    <font>
      <sz val="8"/>
      <color indexed="8"/>
      <name val="Arial Narrow"/>
      <family val="2"/>
    </font>
    <font>
      <sz val="8"/>
      <name val="Tahoma"/>
      <family val="2"/>
    </font>
    <font>
      <b/>
      <sz val="24"/>
      <name val="Tahoma"/>
      <family val="2"/>
    </font>
  </fonts>
  <fills count="17">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12"/>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20"/>
        <bgColor indexed="64"/>
      </patternFill>
    </fill>
    <fill>
      <patternFill patternType="solid">
        <fgColor indexed="17"/>
        <bgColor indexed="64"/>
      </patternFill>
    </fill>
    <fill>
      <patternFill patternType="solid">
        <fgColor indexed="43"/>
        <bgColor indexed="64"/>
      </patternFill>
    </fill>
  </fills>
  <borders count="70">
    <border>
      <left/>
      <right/>
      <top/>
      <bottom/>
      <diagonal/>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style="thick"/>
      <top>
        <color indexed="63"/>
      </top>
      <bottom style="thick"/>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thin">
        <color indexed="42"/>
      </right>
      <top style="medium"/>
      <bottom style="medium"/>
    </border>
    <border>
      <left>
        <color indexed="63"/>
      </left>
      <right>
        <color indexed="63"/>
      </right>
      <top style="medium"/>
      <bottom style="mediu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thin">
        <color indexed="42"/>
      </right>
      <top>
        <color indexed="63"/>
      </top>
      <bottom style="medium"/>
    </border>
    <border>
      <left>
        <color indexed="63"/>
      </left>
      <right style="medium"/>
      <top style="thin"/>
      <bottom style="medium"/>
    </border>
    <border>
      <left style="medium"/>
      <right style="thin"/>
      <top style="medium"/>
      <bottom style="medium"/>
    </border>
    <border>
      <left>
        <color indexed="63"/>
      </left>
      <right style="thin"/>
      <top style="medium"/>
      <bottom style="medium"/>
    </border>
    <border>
      <left style="medium"/>
      <right style="thin"/>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style="medium"/>
      <right style="thin"/>
      <top style="medium"/>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style="medium"/>
      <top style="thin"/>
      <bottom style="double"/>
    </border>
    <border>
      <left style="medium"/>
      <right style="medium"/>
      <top style="double"/>
      <bottom style="double"/>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color indexed="8"/>
      </right>
      <top style="medium"/>
      <bottom style="mediu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color indexed="8"/>
      </right>
      <top style="medium"/>
      <bottom style="medium"/>
    </border>
    <border>
      <left style="medium">
        <color indexed="8"/>
      </left>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398">
    <xf numFmtId="0" fontId="0" fillId="0" borderId="0" xfId="0" applyAlignment="1">
      <alignment/>
    </xf>
    <xf numFmtId="0" fontId="4" fillId="0" borderId="0" xfId="0" applyFont="1" applyAlignment="1">
      <alignment/>
    </xf>
    <xf numFmtId="0" fontId="4" fillId="0" borderId="0" xfId="0" applyFont="1" applyAlignment="1">
      <alignment horizontal="left" wrapText="1"/>
    </xf>
    <xf numFmtId="0" fontId="5" fillId="2" borderId="1" xfId="0" applyFont="1" applyFill="1" applyBorder="1" applyAlignment="1">
      <alignment horizontal="left" wrapText="1"/>
    </xf>
    <xf numFmtId="0" fontId="7" fillId="0" borderId="2" xfId="0" applyFont="1" applyBorder="1" applyAlignment="1">
      <alignment horizontal="left" wrapText="1"/>
    </xf>
    <xf numFmtId="0" fontId="0" fillId="2" borderId="3" xfId="0" applyFont="1" applyFill="1" applyBorder="1" applyAlignment="1">
      <alignment horizontal="left"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9" fillId="0" borderId="2" xfId="0" applyFont="1" applyBorder="1" applyAlignment="1">
      <alignment horizontal="left" wrapText="1"/>
    </xf>
    <xf numFmtId="0" fontId="9" fillId="0" borderId="4" xfId="0" applyFont="1" applyBorder="1" applyAlignment="1">
      <alignment horizontal="left" wrapText="1"/>
    </xf>
    <xf numFmtId="0" fontId="0" fillId="2" borderId="2" xfId="0" applyFont="1" applyFill="1" applyBorder="1" applyAlignment="1">
      <alignment/>
    </xf>
    <xf numFmtId="0" fontId="4" fillId="0" borderId="0" xfId="0" applyFont="1" applyAlignment="1">
      <alignment vertical="center"/>
    </xf>
    <xf numFmtId="0" fontId="4" fillId="0" borderId="0" xfId="0" applyFont="1" applyAlignment="1">
      <alignment/>
    </xf>
    <xf numFmtId="0" fontId="0" fillId="2" borderId="2" xfId="0" applyFont="1" applyFill="1" applyBorder="1" applyAlignment="1">
      <alignment horizontal="left" wrapText="1"/>
    </xf>
    <xf numFmtId="0" fontId="0" fillId="0" borderId="0" xfId="0" applyAlignment="1">
      <alignment vertical="center"/>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7" fillId="0" borderId="5" xfId="0" applyFont="1" applyBorder="1" applyAlignment="1">
      <alignment horizontal="right" vertical="center"/>
    </xf>
    <xf numFmtId="0" fontId="14" fillId="0" borderId="6" xfId="0" applyFont="1" applyBorder="1" applyAlignment="1">
      <alignment horizontal="left" vertical="center" textRotation="45"/>
    </xf>
    <xf numFmtId="0" fontId="14" fillId="3" borderId="6" xfId="0" applyFont="1" applyFill="1" applyBorder="1" applyAlignment="1">
      <alignment horizontal="left" vertical="center" textRotation="45"/>
    </xf>
    <xf numFmtId="0" fontId="14" fillId="0" borderId="7" xfId="0" applyFont="1" applyBorder="1" applyAlignment="1">
      <alignment vertical="center" textRotation="45"/>
    </xf>
    <xf numFmtId="0" fontId="14" fillId="4" borderId="6" xfId="0" applyFont="1" applyFill="1" applyBorder="1" applyAlignment="1">
      <alignment vertical="center" textRotation="45"/>
    </xf>
    <xf numFmtId="0" fontId="14" fillId="0" borderId="6" xfId="0" applyFont="1" applyBorder="1" applyAlignment="1">
      <alignment vertical="center" textRotation="45"/>
    </xf>
    <xf numFmtId="0" fontId="14" fillId="3" borderId="6" xfId="0" applyFont="1" applyFill="1" applyBorder="1" applyAlignment="1">
      <alignment vertical="center" textRotation="45"/>
    </xf>
    <xf numFmtId="0" fontId="14" fillId="3" borderId="7" xfId="0" applyFont="1" applyFill="1" applyBorder="1" applyAlignment="1">
      <alignment vertical="center" textRotation="45"/>
    </xf>
    <xf numFmtId="0" fontId="14" fillId="4" borderId="7" xfId="0" applyFont="1" applyFill="1" applyBorder="1" applyAlignment="1">
      <alignment vertical="center" textRotation="45"/>
    </xf>
    <xf numFmtId="0" fontId="13" fillId="0" borderId="0" xfId="0" applyFont="1" applyAlignment="1">
      <alignment horizontal="left" vertical="center"/>
    </xf>
    <xf numFmtId="0" fontId="7" fillId="0" borderId="8" xfId="0" applyFont="1" applyBorder="1" applyAlignment="1">
      <alignment horizontal="right" vertical="center"/>
    </xf>
    <xf numFmtId="0" fontId="14" fillId="0" borderId="7" xfId="0" applyFont="1" applyBorder="1" applyAlignment="1">
      <alignment horizontal="center" vertical="center"/>
    </xf>
    <xf numFmtId="0" fontId="14" fillId="3" borderId="7" xfId="0" applyFont="1" applyFill="1" applyBorder="1" applyAlignment="1">
      <alignment horizontal="center" vertical="center"/>
    </xf>
    <xf numFmtId="0" fontId="14" fillId="0" borderId="9" xfId="0" applyFont="1" applyBorder="1" applyAlignment="1">
      <alignment horizontal="center" vertical="center"/>
    </xf>
    <xf numFmtId="0" fontId="14" fillId="4" borderId="8" xfId="0" applyFont="1" applyFill="1" applyBorder="1" applyAlignment="1">
      <alignment horizontal="center" vertical="center"/>
    </xf>
    <xf numFmtId="0" fontId="15" fillId="0" borderId="0" xfId="0" applyFont="1" applyAlignment="1">
      <alignment horizontal="left" vertical="center"/>
    </xf>
    <xf numFmtId="0" fontId="7" fillId="0" borderId="8" xfId="0" applyFont="1" applyBorder="1" applyAlignment="1">
      <alignment horizontal="center" vertical="center"/>
    </xf>
    <xf numFmtId="0" fontId="17" fillId="0" borderId="10" xfId="0" applyFont="1" applyBorder="1" applyAlignment="1">
      <alignment horizontal="center" vertical="center"/>
    </xf>
    <xf numFmtId="0" fontId="18" fillId="0" borderId="0" xfId="0" applyFont="1" applyAlignment="1">
      <alignment vertical="center"/>
    </xf>
    <xf numFmtId="0" fontId="19" fillId="5" borderId="11" xfId="0" applyFont="1" applyFill="1" applyBorder="1" applyAlignment="1">
      <alignment horizontal="center" vertical="center"/>
    </xf>
    <xf numFmtId="0" fontId="17" fillId="5" borderId="7" xfId="0" applyFont="1" applyFill="1" applyBorder="1" applyAlignment="1">
      <alignment vertical="center"/>
    </xf>
    <xf numFmtId="0" fontId="14" fillId="5" borderId="7" xfId="0" applyFont="1" applyFill="1" applyBorder="1" applyAlignment="1">
      <alignment horizontal="center" vertical="center"/>
    </xf>
    <xf numFmtId="0" fontId="20" fillId="5" borderId="9" xfId="0" applyFont="1" applyFill="1" applyBorder="1" applyAlignment="1">
      <alignment horizontal="center" vertical="center"/>
    </xf>
    <xf numFmtId="0" fontId="21" fillId="5" borderId="12"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3" fillId="5" borderId="13" xfId="0" applyFont="1" applyFill="1" applyBorder="1" applyAlignment="1" applyProtection="1">
      <alignment horizontal="left" vertical="center"/>
      <protection locked="0"/>
    </xf>
    <xf numFmtId="0" fontId="22" fillId="5" borderId="13" xfId="0" applyFont="1" applyFill="1" applyBorder="1" applyAlignment="1" applyProtection="1">
      <alignment vertical="center"/>
      <protection locked="0"/>
    </xf>
    <xf numFmtId="0" fontId="24" fillId="0" borderId="14" xfId="0" applyFont="1" applyBorder="1" applyAlignment="1">
      <alignment horizontal="center" vertical="center"/>
    </xf>
    <xf numFmtId="0" fontId="12" fillId="0" borderId="15" xfId="0" applyFont="1" applyBorder="1" applyAlignment="1">
      <alignment vertical="center"/>
    </xf>
    <xf numFmtId="20" fontId="12" fillId="0" borderId="15" xfId="0" applyNumberFormat="1" applyFont="1" applyBorder="1" applyAlignment="1">
      <alignment vertical="center"/>
    </xf>
    <xf numFmtId="0" fontId="24" fillId="0" borderId="16" xfId="0" applyFont="1" applyBorder="1" applyAlignment="1">
      <alignment horizontal="center" vertical="center"/>
    </xf>
    <xf numFmtId="0" fontId="15" fillId="0" borderId="8" xfId="0" applyFont="1" applyBorder="1" applyAlignment="1">
      <alignment horizontal="center" vertical="center"/>
    </xf>
    <xf numFmtId="0" fontId="25" fillId="0" borderId="8"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12" fillId="0" borderId="14" xfId="0" applyFont="1" applyBorder="1" applyAlignment="1">
      <alignment horizontal="center" vertical="center"/>
    </xf>
    <xf numFmtId="0" fontId="0" fillId="0" borderId="0" xfId="0" applyFont="1" applyAlignment="1">
      <alignment vertical="center"/>
    </xf>
    <xf numFmtId="0" fontId="0" fillId="0" borderId="5" xfId="0" applyFont="1" applyBorder="1" applyAlignment="1">
      <alignment vertical="center"/>
    </xf>
    <xf numFmtId="20" fontId="0" fillId="0" borderId="5" xfId="0" applyNumberFormat="1" applyFont="1" applyBorder="1" applyAlignment="1">
      <alignment vertical="center"/>
    </xf>
    <xf numFmtId="0" fontId="26" fillId="0" borderId="5" xfId="0" applyFont="1" applyBorder="1" applyAlignment="1">
      <alignment horizontal="center" vertical="center"/>
    </xf>
    <xf numFmtId="0" fontId="15" fillId="0" borderId="5" xfId="0" applyFont="1" applyBorder="1" applyAlignment="1">
      <alignment horizontal="center" vertical="center"/>
    </xf>
    <xf numFmtId="0" fontId="17" fillId="5" borderId="5" xfId="0" applyFont="1" applyFill="1" applyBorder="1" applyAlignment="1">
      <alignment vertical="center"/>
    </xf>
    <xf numFmtId="0" fontId="14" fillId="5" borderId="5"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9" xfId="0" applyFont="1" applyFill="1" applyBorder="1" applyAlignment="1">
      <alignment horizontal="center" vertical="center"/>
    </xf>
    <xf numFmtId="0" fontId="23" fillId="5" borderId="9" xfId="0" applyFont="1" applyFill="1" applyBorder="1" applyAlignment="1">
      <alignment horizontal="left" vertical="center"/>
    </xf>
    <xf numFmtId="0" fontId="22" fillId="5" borderId="9" xfId="0" applyFont="1" applyFill="1" applyBorder="1" applyAlignment="1">
      <alignment vertical="center"/>
    </xf>
    <xf numFmtId="20" fontId="12" fillId="0" borderId="15" xfId="0" applyNumberFormat="1" applyFont="1" applyBorder="1" applyAlignment="1" applyProtection="1">
      <alignment vertical="center"/>
      <protection locked="0"/>
    </xf>
    <xf numFmtId="0" fontId="26" fillId="0" borderId="18" xfId="0" applyFont="1" applyBorder="1" applyAlignment="1" applyProtection="1">
      <alignment horizontal="center" vertical="center"/>
      <protection locked="0"/>
    </xf>
    <xf numFmtId="0" fontId="15" fillId="0" borderId="11" xfId="0" applyFont="1" applyBorder="1" applyAlignment="1">
      <alignment horizontal="center" vertical="center"/>
    </xf>
    <xf numFmtId="20" fontId="0" fillId="0" borderId="5" xfId="0" applyNumberFormat="1" applyFont="1" applyBorder="1" applyAlignment="1" applyProtection="1">
      <alignment vertical="center"/>
      <protection locked="0"/>
    </xf>
    <xf numFmtId="0" fontId="27" fillId="0" borderId="0" xfId="0" applyFont="1" applyAlignment="1">
      <alignment horizontal="center" vertical="center"/>
    </xf>
    <xf numFmtId="0" fontId="0" fillId="6" borderId="19" xfId="0" applyFont="1" applyFill="1" applyBorder="1" applyAlignment="1">
      <alignment horizontal="center" vertical="center"/>
    </xf>
    <xf numFmtId="0" fontId="27" fillId="0" borderId="0" xfId="0" applyFont="1" applyAlignment="1">
      <alignment vertical="center"/>
    </xf>
    <xf numFmtId="0" fontId="27" fillId="6" borderId="20" xfId="0" applyFont="1" applyFill="1" applyBorder="1" applyAlignment="1">
      <alignment horizontal="center" vertical="center"/>
    </xf>
    <xf numFmtId="0" fontId="29" fillId="6" borderId="20" xfId="21" applyFont="1" applyFill="1" applyBorder="1" applyAlignment="1">
      <alignment horizontal="left" vertical="center"/>
      <protection/>
    </xf>
    <xf numFmtId="0" fontId="30" fillId="6" borderId="20" xfId="21" applyFont="1" applyFill="1" applyBorder="1" applyAlignment="1">
      <alignment horizontal="center" vertical="center"/>
      <protection/>
    </xf>
    <xf numFmtId="0" fontId="28" fillId="6" borderId="20"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0" fillId="0" borderId="21" xfId="0" applyFont="1" applyBorder="1" applyAlignment="1">
      <alignment horizontal="center" vertical="center"/>
    </xf>
    <xf numFmtId="0" fontId="27" fillId="0" borderId="22" xfId="0" applyFont="1" applyBorder="1" applyAlignment="1">
      <alignment horizontal="center" vertical="center"/>
    </xf>
    <xf numFmtId="0" fontId="31" fillId="7" borderId="22" xfId="21" applyFont="1" applyFill="1" applyBorder="1" applyAlignment="1">
      <alignment horizontal="center"/>
      <protection/>
    </xf>
    <xf numFmtId="0" fontId="1" fillId="0" borderId="22" xfId="21" applyBorder="1" applyAlignment="1">
      <alignment horizontal="center"/>
      <protection/>
    </xf>
    <xf numFmtId="0" fontId="27" fillId="7" borderId="22" xfId="0" applyFont="1" applyFill="1" applyBorder="1" applyAlignment="1">
      <alignment vertical="center"/>
    </xf>
    <xf numFmtId="0" fontId="27" fillId="7" borderId="15" xfId="0" applyFont="1" applyFill="1" applyBorder="1" applyAlignment="1">
      <alignment vertical="center"/>
    </xf>
    <xf numFmtId="0" fontId="0" fillId="0" borderId="23" xfId="0" applyFont="1" applyBorder="1" applyAlignment="1">
      <alignment horizontal="center" vertical="center"/>
    </xf>
    <xf numFmtId="0" fontId="27" fillId="0" borderId="24" xfId="0" applyFont="1" applyBorder="1" applyAlignment="1">
      <alignment horizontal="center" vertical="center"/>
    </xf>
    <xf numFmtId="0" fontId="31" fillId="8" borderId="24" xfId="21" applyFont="1" applyFill="1" applyBorder="1" applyAlignment="1">
      <alignment horizontal="center"/>
      <protection/>
    </xf>
    <xf numFmtId="0" fontId="1" fillId="0" borderId="24" xfId="21" applyBorder="1" applyAlignment="1">
      <alignment horizontal="center"/>
      <protection/>
    </xf>
    <xf numFmtId="0" fontId="27" fillId="8" borderId="24" xfId="0" applyFont="1" applyFill="1" applyBorder="1" applyAlignment="1">
      <alignment vertical="center"/>
    </xf>
    <xf numFmtId="0" fontId="27" fillId="8" borderId="5" xfId="0" applyFont="1" applyFill="1" applyBorder="1" applyAlignment="1">
      <alignment vertical="center"/>
    </xf>
    <xf numFmtId="2" fontId="0" fillId="0" borderId="0" xfId="0" applyNumberFormat="1" applyAlignment="1">
      <alignment vertical="center"/>
    </xf>
    <xf numFmtId="0" fontId="1" fillId="0" borderId="5" xfId="21" applyBorder="1" applyAlignment="1">
      <alignment horizontal="center"/>
      <protection/>
    </xf>
    <xf numFmtId="0" fontId="27" fillId="0" borderId="21" xfId="0" applyFont="1" applyBorder="1" applyAlignment="1">
      <alignment horizontal="center" vertical="center"/>
    </xf>
    <xf numFmtId="0" fontId="27" fillId="0" borderId="25" xfId="0" applyFont="1" applyBorder="1" applyAlignment="1">
      <alignment vertical="center"/>
    </xf>
    <xf numFmtId="0" fontId="27" fillId="0" borderId="22"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3" xfId="0" applyFont="1" applyBorder="1" applyAlignment="1">
      <alignment horizontal="center" vertical="center"/>
    </xf>
    <xf numFmtId="0" fontId="27" fillId="0" borderId="29" xfId="0" applyFont="1" applyBorder="1" applyAlignment="1">
      <alignment vertical="center"/>
    </xf>
    <xf numFmtId="0" fontId="27" fillId="0" borderId="24" xfId="0" applyFont="1" applyBorder="1" applyAlignment="1">
      <alignment vertical="center"/>
    </xf>
    <xf numFmtId="0" fontId="27" fillId="0" borderId="30" xfId="0" applyFont="1" applyBorder="1" applyAlignment="1">
      <alignment vertical="center"/>
    </xf>
    <xf numFmtId="0" fontId="31" fillId="0" borderId="0" xfId="21" applyFont="1" applyAlignment="1">
      <alignment horizontal="center" wrapText="1"/>
      <protection/>
    </xf>
    <xf numFmtId="0" fontId="1" fillId="0" borderId="0" xfId="21" applyAlignment="1">
      <alignment horizontal="left" wrapText="1"/>
      <protection/>
    </xf>
    <xf numFmtId="0" fontId="27" fillId="0" borderId="0" xfId="0" applyFont="1" applyAlignment="1">
      <alignment horizontal="left" vertical="center"/>
    </xf>
    <xf numFmtId="0" fontId="17" fillId="0" borderId="5" xfId="0" applyFont="1" applyBorder="1" applyAlignment="1">
      <alignment horizontal="center" vertical="center"/>
    </xf>
    <xf numFmtId="0" fontId="12" fillId="0" borderId="5" xfId="0" applyFont="1" applyBorder="1" applyAlignment="1">
      <alignment vertical="center"/>
    </xf>
    <xf numFmtId="0" fontId="12" fillId="0" borderId="9" xfId="0" applyFont="1" applyBorder="1" applyAlignment="1">
      <alignment vertical="center"/>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xf>
    <xf numFmtId="0" fontId="12" fillId="5" borderId="0" xfId="0" applyFont="1" applyFill="1" applyAlignment="1">
      <alignment vertical="center"/>
    </xf>
    <xf numFmtId="0" fontId="21" fillId="5" borderId="17"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3" fillId="5" borderId="9" xfId="0" applyFont="1" applyFill="1" applyBorder="1" applyAlignment="1" applyProtection="1">
      <alignment horizontal="left" vertical="center"/>
      <protection locked="0"/>
    </xf>
    <xf numFmtId="0" fontId="22" fillId="5" borderId="9" xfId="0" applyFont="1" applyFill="1" applyBorder="1" applyAlignment="1" applyProtection="1">
      <alignment vertical="center"/>
      <protection locked="0"/>
    </xf>
    <xf numFmtId="0" fontId="12" fillId="0" borderId="0" xfId="0" applyFont="1" applyFill="1" applyAlignment="1">
      <alignment vertical="center"/>
    </xf>
    <xf numFmtId="0" fontId="17" fillId="0" borderId="0" xfId="0" applyFont="1" applyAlignment="1">
      <alignment horizontal="center" vertical="center"/>
    </xf>
    <xf numFmtId="0" fontId="34" fillId="0" borderId="0" xfId="0" applyFont="1" applyAlignment="1">
      <alignment horizontal="center" vertical="center"/>
    </xf>
    <xf numFmtId="0" fontId="25" fillId="0" borderId="0" xfId="0" applyFont="1" applyAlignment="1" applyProtection="1">
      <alignment horizontal="center" vertical="center"/>
      <protection locked="0"/>
    </xf>
    <xf numFmtId="0" fontId="14" fillId="0" borderId="5" xfId="0" applyFont="1" applyBorder="1" applyAlignment="1">
      <alignment horizontal="center" vertical="center"/>
    </xf>
    <xf numFmtId="0" fontId="17" fillId="5" borderId="11" xfId="0" applyFont="1" applyFill="1" applyBorder="1" applyAlignment="1">
      <alignment vertical="center"/>
    </xf>
    <xf numFmtId="0" fontId="0" fillId="0" borderId="8" xfId="0" applyFont="1" applyBorder="1" applyAlignment="1">
      <alignment vertical="center"/>
    </xf>
    <xf numFmtId="0" fontId="0" fillId="0" borderId="0" xfId="0" applyAlignment="1">
      <alignment horizontal="center"/>
    </xf>
    <xf numFmtId="0" fontId="9" fillId="0" borderId="0" xfId="0" applyFont="1" applyAlignment="1">
      <alignment horizontal="center"/>
    </xf>
    <xf numFmtId="0" fontId="9" fillId="6" borderId="23" xfId="0" applyFont="1" applyFill="1" applyBorder="1" applyAlignment="1">
      <alignment horizontal="center"/>
    </xf>
    <xf numFmtId="0" fontId="9" fillId="0" borderId="0" xfId="0" applyFont="1" applyAlignment="1">
      <alignment/>
    </xf>
    <xf numFmtId="0" fontId="9" fillId="6" borderId="24" xfId="0" applyFont="1" applyFill="1" applyBorder="1" applyAlignment="1">
      <alignment horizontal="center"/>
    </xf>
    <xf numFmtId="0" fontId="9" fillId="6" borderId="5" xfId="0" applyFont="1" applyFill="1" applyBorder="1" applyAlignment="1">
      <alignment horizontal="center"/>
    </xf>
    <xf numFmtId="0" fontId="36" fillId="6" borderId="23" xfId="0" applyFont="1" applyFill="1" applyBorder="1" applyAlignment="1">
      <alignment horizontal="center" vertical="center" wrapText="1"/>
    </xf>
    <xf numFmtId="0" fontId="37" fillId="6" borderId="5" xfId="0" applyFont="1" applyFill="1" applyBorder="1" applyAlignment="1">
      <alignment horizontal="center"/>
    </xf>
    <xf numFmtId="0" fontId="31" fillId="0" borderId="0" xfId="21" applyFont="1" applyAlignment="1">
      <alignment horizontal="center" vertical="center" wrapText="1"/>
      <protection/>
    </xf>
    <xf numFmtId="0" fontId="0" fillId="0" borderId="21"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2" fontId="0" fillId="0" borderId="21" xfId="0" applyNumberFormat="1" applyBorder="1" applyAlignment="1">
      <alignment/>
    </xf>
    <xf numFmtId="0" fontId="31" fillId="0" borderId="16" xfId="21" applyFont="1" applyBorder="1" applyAlignment="1">
      <alignment horizontal="center" vertical="center" wrapText="1"/>
      <protection/>
    </xf>
    <xf numFmtId="0" fontId="0" fillId="0" borderId="23"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2" fontId="0" fillId="0" borderId="23" xfId="0" applyNumberFormat="1" applyBorder="1" applyAlignment="1">
      <alignment/>
    </xf>
    <xf numFmtId="0" fontId="0" fillId="0" borderId="21" xfId="0" applyBorder="1" applyAlignment="1">
      <alignment/>
    </xf>
    <xf numFmtId="0" fontId="0" fillId="0" borderId="23" xfId="0" applyBorder="1" applyAlignment="1">
      <alignment/>
    </xf>
    <xf numFmtId="0" fontId="0" fillId="0" borderId="0" xfId="0" applyAlignment="1">
      <alignment/>
    </xf>
    <xf numFmtId="0" fontId="7" fillId="0" borderId="0" xfId="0" applyFont="1" applyAlignment="1">
      <alignment/>
    </xf>
    <xf numFmtId="0" fontId="13" fillId="0" borderId="5" xfId="0" applyFont="1" applyBorder="1" applyAlignment="1">
      <alignment horizontal="center" vertical="center"/>
    </xf>
    <xf numFmtId="20" fontId="24" fillId="0" borderId="5" xfId="0" applyNumberFormat="1" applyFont="1" applyBorder="1" applyAlignment="1">
      <alignment vertical="center"/>
    </xf>
    <xf numFmtId="0" fontId="0" fillId="0" borderId="0" xfId="0" applyAlignment="1">
      <alignment horizontal="left"/>
    </xf>
    <xf numFmtId="1" fontId="0" fillId="0" borderId="0" xfId="0" applyNumberFormat="1" applyAlignment="1">
      <alignment horizontal="center"/>
    </xf>
    <xf numFmtId="0" fontId="9" fillId="0" borderId="0" xfId="0" applyFont="1" applyAlignment="1">
      <alignment horizontal="left"/>
    </xf>
    <xf numFmtId="1" fontId="8" fillId="0" borderId="10" xfId="0" applyNumberFormat="1" applyFont="1" applyBorder="1" applyAlignment="1">
      <alignment horizontal="right" vertical="center"/>
    </xf>
    <xf numFmtId="0" fontId="41" fillId="9" borderId="6" xfId="0" applyFont="1" applyFill="1" applyBorder="1" applyAlignment="1" applyProtection="1">
      <alignment horizontal="center" textRotation="45" wrapText="1"/>
      <protection locked="0"/>
    </xf>
    <xf numFmtId="0" fontId="41" fillId="0" borderId="6" xfId="0" applyFont="1" applyBorder="1" applyAlignment="1" applyProtection="1">
      <alignment horizontal="center" textRotation="45" wrapText="1"/>
      <protection locked="0"/>
    </xf>
    <xf numFmtId="0" fontId="41" fillId="6" borderId="6" xfId="0" applyFont="1" applyFill="1" applyBorder="1" applyAlignment="1" applyProtection="1">
      <alignment horizontal="center" textRotation="45" wrapText="1"/>
      <protection locked="0"/>
    </xf>
    <xf numFmtId="0" fontId="42" fillId="10" borderId="6" xfId="0" applyFont="1" applyFill="1" applyBorder="1" applyAlignment="1" applyProtection="1">
      <alignment horizontal="center" textRotation="45" wrapText="1"/>
      <protection locked="0"/>
    </xf>
    <xf numFmtId="0" fontId="41" fillId="0" borderId="6" xfId="0" applyFont="1" applyBorder="1" applyAlignment="1" applyProtection="1">
      <alignment horizontal="center" textRotation="45" wrapText="1"/>
      <protection locked="0"/>
    </xf>
    <xf numFmtId="0" fontId="41" fillId="8" borderId="6" xfId="0" applyFont="1" applyFill="1" applyBorder="1" applyAlignment="1" applyProtection="1">
      <alignment horizontal="center" textRotation="45" wrapText="1"/>
      <protection locked="0"/>
    </xf>
    <xf numFmtId="0" fontId="41" fillId="11" borderId="6" xfId="0" applyFont="1" applyFill="1" applyBorder="1" applyAlignment="1" applyProtection="1">
      <alignment horizontal="center" textRotation="45" wrapText="1"/>
      <protection locked="0"/>
    </xf>
    <xf numFmtId="0" fontId="42" fillId="12" borderId="6" xfId="0" applyFont="1" applyFill="1" applyBorder="1" applyAlignment="1" applyProtection="1">
      <alignment horizontal="center" textRotation="45" wrapText="1"/>
      <protection locked="0"/>
    </xf>
    <xf numFmtId="0" fontId="41" fillId="7" borderId="6" xfId="0" applyFont="1" applyFill="1" applyBorder="1" applyAlignment="1" applyProtection="1">
      <alignment horizontal="center" textRotation="45" wrapText="1"/>
      <protection locked="0"/>
    </xf>
    <xf numFmtId="0" fontId="42" fillId="13" borderId="6" xfId="0" applyFont="1" applyFill="1" applyBorder="1" applyAlignment="1" applyProtection="1">
      <alignment horizontal="center" textRotation="45" wrapText="1"/>
      <protection locked="0"/>
    </xf>
    <xf numFmtId="0" fontId="42" fillId="14" borderId="6" xfId="0" applyFont="1" applyFill="1" applyBorder="1" applyAlignment="1" applyProtection="1">
      <alignment horizontal="center" textRotation="45" wrapText="1"/>
      <protection locked="0"/>
    </xf>
    <xf numFmtId="0" fontId="42" fillId="15" borderId="6" xfId="0" applyFont="1" applyFill="1" applyBorder="1" applyAlignment="1" applyProtection="1">
      <alignment horizontal="center" textRotation="45" wrapText="1"/>
      <protection locked="0"/>
    </xf>
    <xf numFmtId="1" fontId="41" fillId="0" borderId="6" xfId="0" applyNumberFormat="1" applyFont="1" applyBorder="1" applyAlignment="1">
      <alignment horizontal="center" textRotation="45" wrapText="1"/>
    </xf>
    <xf numFmtId="0" fontId="41" fillId="5" borderId="6" xfId="0" applyFont="1" applyFill="1" applyBorder="1" applyAlignment="1">
      <alignment horizontal="center" textRotation="45" wrapText="1"/>
    </xf>
    <xf numFmtId="0" fontId="9" fillId="0" borderId="6" xfId="0" applyFont="1" applyBorder="1" applyAlignment="1">
      <alignment horizontal="center" textRotation="45" wrapText="1"/>
    </xf>
    <xf numFmtId="1" fontId="8" fillId="0" borderId="11" xfId="0" applyNumberFormat="1" applyFont="1" applyBorder="1" applyAlignment="1">
      <alignment horizontal="right" vertical="center"/>
    </xf>
    <xf numFmtId="0" fontId="41" fillId="9"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2" fillId="10"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8" borderId="7" xfId="0" applyFont="1" applyFill="1" applyBorder="1" applyAlignment="1" applyProtection="1">
      <alignment horizontal="center" vertical="center" wrapText="1"/>
      <protection locked="0"/>
    </xf>
    <xf numFmtId="0" fontId="41" fillId="11" borderId="7"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41" fillId="7" borderId="7" xfId="0" applyFont="1" applyFill="1" applyBorder="1" applyAlignment="1" applyProtection="1">
      <alignment horizontal="center" vertical="center" wrapText="1"/>
      <protection locked="0"/>
    </xf>
    <xf numFmtId="0" fontId="42" fillId="13" borderId="7" xfId="0" applyFont="1" applyFill="1" applyBorder="1" applyAlignment="1" applyProtection="1">
      <alignment horizontal="center" vertical="center" wrapText="1"/>
      <protection locked="0"/>
    </xf>
    <xf numFmtId="0" fontId="42" fillId="14" borderId="7" xfId="0" applyFont="1" applyFill="1" applyBorder="1" applyAlignment="1" applyProtection="1">
      <alignment horizontal="center" vertical="center" wrapText="1"/>
      <protection locked="0"/>
    </xf>
    <xf numFmtId="0" fontId="42" fillId="15" borderId="7" xfId="0" applyFont="1" applyFill="1" applyBorder="1" applyAlignment="1" applyProtection="1">
      <alignment horizontal="center" vertical="center" wrapText="1"/>
      <protection locked="0"/>
    </xf>
    <xf numFmtId="1" fontId="41" fillId="0" borderId="7" xfId="0" applyNumberFormat="1" applyFont="1" applyBorder="1" applyAlignment="1" applyProtection="1">
      <alignment horizontal="center" wrapText="1"/>
      <protection locked="0"/>
    </xf>
    <xf numFmtId="0" fontId="41" fillId="5" borderId="7" xfId="0" applyFont="1" applyFill="1" applyBorder="1" applyAlignment="1" applyProtection="1">
      <alignment horizontal="center" vertical="center" wrapText="1"/>
      <protection locked="0"/>
    </xf>
    <xf numFmtId="0" fontId="8" fillId="0" borderId="8" xfId="0" applyFont="1" applyBorder="1" applyAlignment="1">
      <alignment horizontal="center" vertical="center"/>
    </xf>
    <xf numFmtId="1" fontId="9" fillId="0" borderId="21" xfId="0" applyNumberFormat="1" applyFont="1" applyBorder="1" applyAlignment="1">
      <alignment horizontal="center" vertical="center"/>
    </xf>
    <xf numFmtId="0" fontId="9" fillId="9" borderId="21" xfId="0" applyFont="1" applyFill="1" applyBorder="1" applyAlignment="1" applyProtection="1">
      <alignment horizontal="center"/>
      <protection locked="0"/>
    </xf>
    <xf numFmtId="1" fontId="9" fillId="0" borderId="22" xfId="0" applyNumberFormat="1" applyFont="1" applyBorder="1" applyAlignment="1" applyProtection="1">
      <alignment horizontal="center"/>
      <protection locked="0"/>
    </xf>
    <xf numFmtId="1" fontId="9" fillId="6" borderId="22" xfId="0" applyNumberFormat="1" applyFont="1" applyFill="1" applyBorder="1" applyAlignment="1" applyProtection="1">
      <alignment horizontal="center"/>
      <protection locked="0"/>
    </xf>
    <xf numFmtId="1" fontId="43" fillId="10" borderId="22" xfId="0" applyNumberFormat="1" applyFont="1" applyFill="1" applyBorder="1" applyAlignment="1" applyProtection="1">
      <alignment horizontal="center"/>
      <protection locked="0"/>
    </xf>
    <xf numFmtId="1" fontId="9" fillId="0" borderId="22" xfId="0" applyNumberFormat="1" applyFont="1" applyBorder="1" applyAlignment="1" applyProtection="1">
      <alignment horizontal="center"/>
      <protection locked="0"/>
    </xf>
    <xf numFmtId="1" fontId="44" fillId="8" borderId="22" xfId="0" applyNumberFormat="1" applyFont="1" applyFill="1" applyBorder="1" applyAlignment="1" applyProtection="1">
      <alignment horizontal="center"/>
      <protection locked="0"/>
    </xf>
    <xf numFmtId="1" fontId="9" fillId="11" borderId="22" xfId="0" applyNumberFormat="1" applyFont="1" applyFill="1" applyBorder="1" applyAlignment="1" applyProtection="1">
      <alignment horizontal="center"/>
      <protection locked="0"/>
    </xf>
    <xf numFmtId="1" fontId="43" fillId="12" borderId="22" xfId="0" applyNumberFormat="1" applyFont="1" applyFill="1" applyBorder="1" applyAlignment="1" applyProtection="1">
      <alignment horizontal="center"/>
      <protection locked="0"/>
    </xf>
    <xf numFmtId="1" fontId="9" fillId="7" borderId="22" xfId="0" applyNumberFormat="1" applyFont="1" applyFill="1" applyBorder="1" applyAlignment="1" applyProtection="1">
      <alignment horizontal="center"/>
      <protection locked="0"/>
    </xf>
    <xf numFmtId="1" fontId="43" fillId="13" borderId="22" xfId="0" applyNumberFormat="1" applyFont="1" applyFill="1" applyBorder="1" applyAlignment="1" applyProtection="1">
      <alignment horizontal="center"/>
      <protection locked="0"/>
    </xf>
    <xf numFmtId="1" fontId="43" fillId="14" borderId="22" xfId="0" applyNumberFormat="1" applyFont="1" applyFill="1" applyBorder="1" applyAlignment="1" applyProtection="1">
      <alignment horizontal="center"/>
      <protection locked="0"/>
    </xf>
    <xf numFmtId="1" fontId="43" fillId="15" borderId="15" xfId="0" applyNumberFormat="1" applyFont="1" applyFill="1" applyBorder="1" applyAlignment="1" applyProtection="1">
      <alignment horizontal="center"/>
      <protection locked="0"/>
    </xf>
    <xf numFmtId="1" fontId="0" fillId="0" borderId="22" xfId="0" applyNumberFormat="1" applyBorder="1" applyAlignment="1">
      <alignment horizontal="center"/>
    </xf>
    <xf numFmtId="168" fontId="0" fillId="5" borderId="22" xfId="0" applyNumberFormat="1" applyFill="1" applyBorder="1" applyAlignment="1">
      <alignment horizontal="center"/>
    </xf>
    <xf numFmtId="168" fontId="9" fillId="0" borderId="14" xfId="0" applyNumberFormat="1" applyFont="1" applyBorder="1" applyAlignment="1">
      <alignment horizontal="center"/>
    </xf>
    <xf numFmtId="0" fontId="9" fillId="0" borderId="0" xfId="0" applyFont="1" applyAlignment="1">
      <alignment wrapText="1"/>
    </xf>
    <xf numFmtId="1" fontId="9" fillId="0" borderId="0" xfId="0" applyNumberFormat="1" applyFont="1" applyAlignment="1">
      <alignment horizontal="center" vertical="center"/>
    </xf>
    <xf numFmtId="0" fontId="43" fillId="0" borderId="0" xfId="0" applyFont="1" applyAlignment="1" applyProtection="1">
      <alignment horizontal="center"/>
      <protection locked="0"/>
    </xf>
    <xf numFmtId="1" fontId="9"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1" fontId="43" fillId="0" borderId="0" xfId="0" applyNumberFormat="1" applyFont="1" applyAlignment="1" applyProtection="1">
      <alignment horizontal="center"/>
      <protection locked="0"/>
    </xf>
    <xf numFmtId="168" fontId="0" fillId="0" borderId="0" xfId="0" applyNumberFormat="1" applyAlignment="1">
      <alignment horizontal="center"/>
    </xf>
    <xf numFmtId="168" fontId="9" fillId="0" borderId="0" xfId="0" applyNumberFormat="1" applyFont="1" applyAlignment="1">
      <alignment horizontal="center"/>
    </xf>
    <xf numFmtId="0" fontId="9" fillId="0" borderId="19" xfId="0" applyFont="1" applyBorder="1" applyAlignment="1">
      <alignment horizontal="center"/>
    </xf>
    <xf numFmtId="1" fontId="9" fillId="0" borderId="20" xfId="0" applyNumberFormat="1" applyFont="1" applyBorder="1" applyAlignment="1" applyProtection="1">
      <alignment horizontal="center"/>
      <protection locked="0"/>
    </xf>
    <xf numFmtId="1" fontId="9" fillId="0" borderId="7" xfId="0" applyNumberFormat="1" applyFont="1" applyBorder="1" applyAlignment="1" applyProtection="1">
      <alignment horizontal="center"/>
      <protection locked="0"/>
    </xf>
    <xf numFmtId="0" fontId="9" fillId="0" borderId="21" xfId="0" applyFont="1" applyBorder="1" applyAlignment="1">
      <alignment horizontal="center"/>
    </xf>
    <xf numFmtId="2" fontId="9" fillId="0" borderId="33" xfId="0" applyNumberFormat="1" applyFont="1" applyBorder="1" applyAlignment="1">
      <alignment horizontal="center"/>
    </xf>
    <xf numFmtId="1" fontId="9" fillId="0" borderId="15" xfId="0" applyNumberFormat="1" applyFont="1" applyBorder="1" applyAlignment="1">
      <alignment horizontal="center"/>
    </xf>
    <xf numFmtId="2" fontId="9" fillId="0" borderId="22" xfId="0" applyNumberFormat="1" applyFont="1" applyBorder="1" applyAlignment="1">
      <alignment horizontal="center"/>
    </xf>
    <xf numFmtId="1" fontId="9" fillId="0" borderId="21" xfId="0" applyNumberFormat="1" applyFont="1" applyBorder="1" applyAlignment="1">
      <alignment horizontal="center" vertical="center" wrapText="1"/>
    </xf>
    <xf numFmtId="0" fontId="9" fillId="0" borderId="23" xfId="0" applyFont="1" applyBorder="1" applyAlignment="1">
      <alignment horizontal="center"/>
    </xf>
    <xf numFmtId="2" fontId="9" fillId="0" borderId="24" xfId="0" applyNumberFormat="1" applyFont="1" applyBorder="1" applyAlignment="1">
      <alignment horizontal="center"/>
    </xf>
    <xf numFmtId="2"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0" fillId="0" borderId="27" xfId="0" applyBorder="1" applyAlignment="1">
      <alignment horizontal="center"/>
    </xf>
    <xf numFmtId="0" fontId="0" fillId="0" borderId="25" xfId="0" applyBorder="1" applyAlignment="1">
      <alignment horizontal="center"/>
    </xf>
    <xf numFmtId="0" fontId="0" fillId="0" borderId="34" xfId="0" applyBorder="1" applyAlignment="1">
      <alignment horizontal="center"/>
    </xf>
    <xf numFmtId="0" fontId="28" fillId="0" borderId="0" xfId="0" applyFont="1" applyAlignment="1">
      <alignment horizontal="left"/>
    </xf>
    <xf numFmtId="14" fontId="0" fillId="0" borderId="0" xfId="0" applyNumberFormat="1" applyAlignment="1">
      <alignment horizontal="center"/>
    </xf>
    <xf numFmtId="0" fontId="45" fillId="0" borderId="0" xfId="0" applyFont="1" applyAlignment="1">
      <alignment horizontal="center"/>
    </xf>
    <xf numFmtId="17" fontId="0" fillId="0" borderId="0" xfId="0" applyNumberFormat="1" applyAlignment="1">
      <alignment horizontal="center"/>
    </xf>
    <xf numFmtId="0" fontId="45" fillId="0" borderId="0" xfId="0" applyFont="1" applyAlignment="1">
      <alignment horizontal="center"/>
    </xf>
    <xf numFmtId="0" fontId="45" fillId="0" borderId="0" xfId="0" applyFont="1" applyAlignment="1">
      <alignment horizontal="center" wrapText="1" shrinkToFit="1"/>
    </xf>
    <xf numFmtId="0" fontId="12" fillId="0" borderId="11" xfId="0" applyFont="1" applyBorder="1" applyAlignment="1">
      <alignment vertical="center"/>
    </xf>
    <xf numFmtId="20" fontId="12" fillId="0" borderId="7" xfId="0" applyNumberFormat="1" applyFont="1" applyBorder="1" applyAlignment="1">
      <alignment vertical="center"/>
    </xf>
    <xf numFmtId="0" fontId="24" fillId="0" borderId="13" xfId="0" applyFont="1" applyBorder="1" applyAlignment="1">
      <alignment horizontal="center" vertical="center"/>
    </xf>
    <xf numFmtId="0" fontId="25" fillId="0" borderId="7" xfId="0" applyFont="1" applyBorder="1" applyAlignment="1" applyProtection="1">
      <alignment horizontal="center" vertical="center"/>
      <protection locked="0"/>
    </xf>
    <xf numFmtId="0" fontId="25" fillId="0" borderId="0" xfId="0" applyFont="1" applyAlignment="1">
      <alignment horizontal="left" vertical="center"/>
    </xf>
    <xf numFmtId="0" fontId="27" fillId="0" borderId="22" xfId="0" applyFont="1" applyBorder="1" applyAlignment="1" applyProtection="1">
      <alignment horizontal="center" vertical="center"/>
      <protection locked="0"/>
    </xf>
    <xf numFmtId="0" fontId="31" fillId="0" borderId="22" xfId="21" applyFont="1" applyBorder="1" applyAlignment="1" applyProtection="1">
      <alignment horizontal="center" wrapText="1"/>
      <protection locked="0"/>
    </xf>
    <xf numFmtId="0" fontId="1" fillId="0" borderId="22" xfId="21" applyBorder="1" applyAlignment="1" applyProtection="1">
      <alignment horizontal="center" wrapText="1"/>
      <protection locked="0"/>
    </xf>
    <xf numFmtId="0" fontId="27" fillId="0" borderId="24" xfId="0" applyFont="1" applyBorder="1" applyAlignment="1" applyProtection="1">
      <alignment horizontal="center" vertical="center"/>
      <protection locked="0"/>
    </xf>
    <xf numFmtId="0" fontId="31" fillId="0" borderId="24" xfId="21" applyFont="1" applyBorder="1" applyAlignment="1" applyProtection="1">
      <alignment horizontal="center" wrapText="1"/>
      <protection locked="0"/>
    </xf>
    <xf numFmtId="0" fontId="1" fillId="0" borderId="24" xfId="21" applyBorder="1" applyAlignment="1" applyProtection="1">
      <alignment horizontal="center" wrapText="1"/>
      <protection locked="0"/>
    </xf>
    <xf numFmtId="0" fontId="8" fillId="0" borderId="1" xfId="0" applyFont="1" applyBorder="1" applyAlignment="1">
      <alignment horizontal="left" wrapText="1"/>
    </xf>
    <xf numFmtId="0" fontId="8" fillId="0" borderId="35" xfId="0" applyFont="1" applyBorder="1" applyAlignment="1">
      <alignment horizontal="left" wrapText="1"/>
    </xf>
    <xf numFmtId="0" fontId="8" fillId="0" borderId="36" xfId="0" applyFont="1" applyBorder="1" applyAlignment="1">
      <alignment horizontal="left" wrapText="1"/>
    </xf>
    <xf numFmtId="0" fontId="8" fillId="0" borderId="8" xfId="0" applyFont="1" applyBorder="1" applyAlignment="1">
      <alignment horizontal="left" wrapText="1"/>
    </xf>
    <xf numFmtId="0" fontId="8" fillId="0" borderId="37" xfId="0" applyFont="1" applyBorder="1" applyAlignment="1">
      <alignment horizontal="left" wrapText="1"/>
    </xf>
    <xf numFmtId="0" fontId="9" fillId="0" borderId="36" xfId="0" applyFont="1" applyBorder="1" applyAlignment="1">
      <alignment horizontal="left" wrapText="1"/>
    </xf>
    <xf numFmtId="0" fontId="0" fillId="0" borderId="36" xfId="0" applyFont="1" applyBorder="1" applyAlignment="1">
      <alignment horizontal="left" wrapText="1"/>
    </xf>
    <xf numFmtId="0" fontId="0" fillId="0" borderId="38" xfId="0" applyFont="1" applyBorder="1" applyAlignment="1">
      <alignment horizontal="left" wrapText="1"/>
    </xf>
    <xf numFmtId="0" fontId="0" fillId="0" borderId="14" xfId="0" applyFont="1" applyBorder="1" applyAlignment="1">
      <alignment horizontal="left" wrapText="1"/>
    </xf>
    <xf numFmtId="0" fontId="11" fillId="0" borderId="39" xfId="0" applyFont="1" applyBorder="1" applyAlignment="1">
      <alignment horizontal="left" wrapText="1"/>
    </xf>
    <xf numFmtId="0" fontId="0" fillId="2" borderId="35" xfId="0" applyFont="1" applyFill="1" applyBorder="1" applyAlignment="1">
      <alignment/>
    </xf>
    <xf numFmtId="0" fontId="10" fillId="0" borderId="40" xfId="0" applyFont="1" applyBorder="1" applyAlignment="1">
      <alignment horizontal="left" wrapText="1"/>
    </xf>
    <xf numFmtId="0" fontId="0" fillId="0" borderId="8" xfId="0" applyFont="1" applyBorder="1" applyAlignment="1">
      <alignment horizontal="left" wrapText="1"/>
    </xf>
    <xf numFmtId="0" fontId="0" fillId="0" borderId="0" xfId="0" applyAlignment="1">
      <alignment horizontal="center" shrinkToFit="1"/>
    </xf>
    <xf numFmtId="0" fontId="28" fillId="0" borderId="34" xfId="0" applyFont="1" applyBorder="1" applyAlignment="1" applyProtection="1">
      <alignment horizontal="center" vertical="center"/>
      <protection locked="0"/>
    </xf>
    <xf numFmtId="0" fontId="30" fillId="0" borderId="41" xfId="21" applyFont="1" applyFill="1" applyBorder="1" applyAlignment="1" applyProtection="1">
      <alignment horizontal="center" vertical="center" wrapText="1"/>
      <protection locked="0"/>
    </xf>
    <xf numFmtId="0" fontId="28" fillId="0" borderId="42" xfId="0" applyFont="1" applyBorder="1" applyAlignment="1" applyProtection="1">
      <alignment horizontal="center" vertical="center"/>
      <protection locked="0"/>
    </xf>
    <xf numFmtId="0" fontId="30" fillId="0" borderId="27" xfId="21" applyFont="1" applyFill="1" applyBorder="1" applyAlignment="1" applyProtection="1">
      <alignment horizontal="center" vertical="center" wrapText="1"/>
      <protection locked="0"/>
    </xf>
    <xf numFmtId="0" fontId="28" fillId="0" borderId="43" xfId="0" applyFont="1" applyBorder="1" applyAlignment="1" applyProtection="1">
      <alignment horizontal="center" vertical="center"/>
      <protection locked="0"/>
    </xf>
    <xf numFmtId="0" fontId="49" fillId="0" borderId="41" xfId="21" applyFont="1" applyFill="1" applyBorder="1" applyAlignment="1" applyProtection="1">
      <alignment horizontal="center" vertical="center" wrapText="1" shrinkToFit="1"/>
      <protection locked="0"/>
    </xf>
    <xf numFmtId="0" fontId="49" fillId="0" borderId="27" xfId="21" applyFont="1" applyFill="1" applyBorder="1" applyAlignment="1" applyProtection="1">
      <alignment horizontal="center" vertical="center" wrapText="1" shrinkToFit="1"/>
      <protection locked="0"/>
    </xf>
    <xf numFmtId="0" fontId="49" fillId="0" borderId="29" xfId="21" applyFont="1" applyFill="1" applyBorder="1" applyAlignment="1" applyProtection="1">
      <alignment horizontal="center" vertical="center" wrapText="1" shrinkToFit="1"/>
      <protection locked="0"/>
    </xf>
    <xf numFmtId="0" fontId="30" fillId="0" borderId="29" xfId="21" applyFont="1" applyFill="1" applyBorder="1" applyAlignment="1" applyProtection="1">
      <alignment horizontal="center" vertical="center" wrapText="1"/>
      <protection locked="0"/>
    </xf>
    <xf numFmtId="0" fontId="30" fillId="0" borderId="27" xfId="21" applyFont="1" applyFill="1" applyBorder="1" applyAlignment="1" applyProtection="1">
      <alignment horizontal="center" vertical="center" wrapText="1"/>
      <protection locked="0"/>
    </xf>
    <xf numFmtId="170" fontId="0" fillId="0" borderId="0" xfId="0" applyNumberFormat="1" applyAlignment="1">
      <alignment/>
    </xf>
    <xf numFmtId="0" fontId="20" fillId="5" borderId="13" xfId="0" applyFont="1" applyFill="1" applyBorder="1" applyAlignment="1">
      <alignment horizontal="center" vertical="center"/>
    </xf>
    <xf numFmtId="2" fontId="0" fillId="0" borderId="44" xfId="0" applyNumberFormat="1" applyBorder="1" applyAlignment="1">
      <alignment horizontal="center"/>
    </xf>
    <xf numFmtId="0" fontId="0" fillId="0" borderId="41" xfId="0" applyBorder="1" applyAlignment="1">
      <alignment horizontal="center"/>
    </xf>
    <xf numFmtId="0" fontId="0" fillId="0" borderId="45" xfId="0" applyBorder="1" applyAlignment="1">
      <alignment horizontal="center"/>
    </xf>
    <xf numFmtId="0" fontId="0" fillId="0" borderId="42" xfId="0" applyBorder="1" applyAlignment="1">
      <alignment/>
    </xf>
    <xf numFmtId="2" fontId="0" fillId="0" borderId="46" xfId="0" applyNumberFormat="1" applyBorder="1" applyAlignment="1">
      <alignment horizontal="center"/>
    </xf>
    <xf numFmtId="0" fontId="0" fillId="0" borderId="42"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2" fontId="0" fillId="0" borderId="47" xfId="0" applyNumberFormat="1" applyBorder="1" applyAlignment="1">
      <alignment horizontal="center"/>
    </xf>
    <xf numFmtId="0" fontId="0" fillId="0" borderId="43" xfId="0" applyBorder="1" applyAlignment="1">
      <alignment horizontal="center"/>
    </xf>
    <xf numFmtId="0" fontId="0" fillId="0" borderId="30" xfId="0" applyBorder="1" applyAlignment="1">
      <alignment horizontal="center"/>
    </xf>
    <xf numFmtId="0" fontId="9" fillId="6" borderId="10" xfId="0" applyFont="1" applyFill="1" applyBorder="1" applyAlignment="1">
      <alignment horizontal="center"/>
    </xf>
    <xf numFmtId="0" fontId="9" fillId="6" borderId="48" xfId="0" applyFont="1" applyFill="1" applyBorder="1" applyAlignment="1">
      <alignment horizontal="center"/>
    </xf>
    <xf numFmtId="0" fontId="9" fillId="6" borderId="49" xfId="0" applyFont="1" applyFill="1" applyBorder="1" applyAlignment="1">
      <alignment horizontal="center"/>
    </xf>
    <xf numFmtId="0" fontId="27" fillId="0" borderId="34" xfId="0" applyFont="1" applyBorder="1" applyAlignment="1">
      <alignment horizontal="center" vertical="center"/>
    </xf>
    <xf numFmtId="0" fontId="31" fillId="0" borderId="50" xfId="21" applyFont="1" applyBorder="1" applyAlignment="1">
      <alignment horizontal="center" vertical="center" wrapText="1"/>
      <protection/>
    </xf>
    <xf numFmtId="0" fontId="9" fillId="0" borderId="51" xfId="0" applyFont="1" applyBorder="1" applyAlignment="1">
      <alignment horizontal="center"/>
    </xf>
    <xf numFmtId="0" fontId="9" fillId="0" borderId="52" xfId="0" applyFont="1" applyBorder="1" applyAlignment="1">
      <alignment horizontal="center"/>
    </xf>
    <xf numFmtId="0" fontId="0" fillId="6" borderId="53" xfId="0" applyFont="1" applyFill="1" applyBorder="1" applyAlignment="1">
      <alignment horizontal="center" vertical="center"/>
    </xf>
    <xf numFmtId="0" fontId="27" fillId="6" borderId="54" xfId="0" applyFont="1" applyFill="1" applyBorder="1" applyAlignment="1">
      <alignment horizontal="center" vertical="center"/>
    </xf>
    <xf numFmtId="0" fontId="29" fillId="6" borderId="54" xfId="21" applyFont="1" applyFill="1" applyBorder="1" applyAlignment="1">
      <alignment horizontal="center" vertical="center"/>
      <protection/>
    </xf>
    <xf numFmtId="0" fontId="30" fillId="6" borderId="6" xfId="21" applyFont="1" applyFill="1" applyBorder="1" applyAlignment="1">
      <alignment horizontal="center" vertical="center"/>
      <protection/>
    </xf>
    <xf numFmtId="0" fontId="27" fillId="0" borderId="27" xfId="0" applyFont="1" applyBorder="1" applyAlignment="1">
      <alignment horizontal="center" vertical="center"/>
    </xf>
    <xf numFmtId="0" fontId="31" fillId="0" borderId="27" xfId="21" applyFont="1" applyBorder="1" applyAlignment="1">
      <alignment horizontal="center" vertical="center" wrapText="1"/>
      <protection/>
    </xf>
    <xf numFmtId="0" fontId="27" fillId="0" borderId="41" xfId="0" applyFont="1" applyBorder="1" applyAlignment="1">
      <alignment horizontal="center" vertical="center"/>
    </xf>
    <xf numFmtId="0" fontId="1" fillId="0" borderId="45" xfId="21" applyBorder="1" applyAlignment="1">
      <alignment horizontal="center" vertical="center" wrapText="1"/>
      <protection/>
    </xf>
    <xf numFmtId="0" fontId="27" fillId="0" borderId="42" xfId="0" applyFont="1" applyBorder="1" applyAlignment="1">
      <alignment horizontal="center" vertical="center"/>
    </xf>
    <xf numFmtId="0" fontId="1" fillId="0" borderId="28" xfId="21" applyBorder="1" applyAlignment="1">
      <alignment horizontal="center" vertical="center" wrapText="1"/>
      <protection/>
    </xf>
    <xf numFmtId="0" fontId="27" fillId="0" borderId="43" xfId="0" applyFont="1" applyBorder="1" applyAlignment="1">
      <alignment horizontal="center" vertical="center"/>
    </xf>
    <xf numFmtId="0" fontId="27" fillId="0" borderId="29" xfId="0" applyFont="1" applyBorder="1" applyAlignment="1">
      <alignment horizontal="center" vertical="center"/>
    </xf>
    <xf numFmtId="0" fontId="31" fillId="0" borderId="29" xfId="21" applyFont="1" applyBorder="1" applyAlignment="1">
      <alignment horizontal="center" vertical="center" wrapText="1"/>
      <protection/>
    </xf>
    <xf numFmtId="0" fontId="1" fillId="0" borderId="30" xfId="21" applyBorder="1" applyAlignment="1">
      <alignment horizontal="center" vertical="center" wrapText="1"/>
      <protection/>
    </xf>
    <xf numFmtId="0" fontId="29" fillId="6" borderId="13" xfId="21" applyFont="1" applyFill="1" applyBorder="1" applyAlignment="1">
      <alignment horizontal="center" vertical="center"/>
      <protection/>
    </xf>
    <xf numFmtId="0" fontId="29" fillId="6" borderId="55" xfId="21" applyFont="1" applyFill="1" applyBorder="1" applyAlignment="1">
      <alignment horizontal="center" vertical="center"/>
      <protection/>
    </xf>
    <xf numFmtId="0" fontId="9" fillId="0" borderId="48" xfId="0" applyFont="1" applyBorder="1" applyAlignment="1">
      <alignment horizontal="center"/>
    </xf>
    <xf numFmtId="0" fontId="9" fillId="0" borderId="56" xfId="0" applyFont="1" applyBorder="1" applyAlignment="1">
      <alignment horizontal="center"/>
    </xf>
    <xf numFmtId="0" fontId="9" fillId="0" borderId="56" xfId="0" applyFont="1" applyBorder="1" applyAlignment="1">
      <alignment horizontal="center" wrapText="1"/>
    </xf>
    <xf numFmtId="0" fontId="9" fillId="0" borderId="57" xfId="0" applyFont="1" applyBorder="1" applyAlignment="1">
      <alignment horizont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22" fillId="5" borderId="13" xfId="0" applyFont="1" applyFill="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22" fillId="5" borderId="13" xfId="0" applyFont="1" applyFill="1" applyBorder="1" applyAlignment="1" applyProtection="1">
      <alignment horizontal="center" vertical="center"/>
      <protection locked="0"/>
    </xf>
    <xf numFmtId="0" fontId="22" fillId="5" borderId="59" xfId="0" applyFont="1" applyFill="1" applyBorder="1" applyAlignment="1" applyProtection="1">
      <alignment horizontal="center" vertical="center"/>
      <protection locked="0"/>
    </xf>
    <xf numFmtId="0" fontId="14" fillId="4" borderId="60" xfId="0" applyFont="1" applyFill="1" applyBorder="1" applyAlignment="1">
      <alignment horizontal="center" vertical="center"/>
    </xf>
    <xf numFmtId="0" fontId="14" fillId="4" borderId="59" xfId="0" applyFont="1" applyFill="1" applyBorder="1" applyAlignment="1">
      <alignment horizontal="center" vertical="center"/>
    </xf>
    <xf numFmtId="0" fontId="14" fillId="0" borderId="60" xfId="0" applyFont="1" applyBorder="1" applyAlignment="1">
      <alignment horizontal="center" vertical="center"/>
    </xf>
    <xf numFmtId="0" fontId="14" fillId="3" borderId="60" xfId="0" applyFont="1" applyFill="1" applyBorder="1" applyAlignment="1">
      <alignment horizontal="center" vertical="center"/>
    </xf>
    <xf numFmtId="0" fontId="14" fillId="3" borderId="59" xfId="0" applyFont="1" applyFill="1" applyBorder="1" applyAlignment="1">
      <alignment horizontal="center" vertical="center"/>
    </xf>
    <xf numFmtId="0" fontId="35" fillId="0" borderId="9" xfId="0" applyFont="1" applyBorder="1" applyAlignment="1">
      <alignment horizontal="center"/>
    </xf>
    <xf numFmtId="0" fontId="8" fillId="0" borderId="9" xfId="0" applyFont="1" applyBorder="1" applyAlignment="1">
      <alignment horizontal="center" vertical="center" wrapText="1"/>
    </xf>
    <xf numFmtId="0" fontId="29" fillId="6" borderId="61" xfId="21" applyFont="1" applyFill="1" applyBorder="1" applyAlignment="1">
      <alignment horizontal="center" vertical="center"/>
      <protection/>
    </xf>
    <xf numFmtId="0" fontId="38" fillId="0" borderId="0" xfId="0" applyFont="1" applyAlignment="1">
      <alignment horizontal="center" vertical="center" wrapText="1"/>
    </xf>
    <xf numFmtId="0" fontId="40" fillId="6" borderId="58" xfId="21" applyFont="1" applyFill="1" applyBorder="1" applyAlignment="1">
      <alignment horizontal="center" vertical="center"/>
      <protection/>
    </xf>
    <xf numFmtId="0" fontId="40" fillId="6" borderId="13" xfId="21" applyFont="1" applyFill="1" applyBorder="1" applyAlignment="1">
      <alignment horizontal="center" vertical="center"/>
      <protection/>
    </xf>
    <xf numFmtId="0" fontId="40" fillId="6" borderId="7" xfId="21" applyFont="1" applyFill="1" applyBorder="1" applyAlignment="1">
      <alignment horizontal="center" vertical="center"/>
      <protection/>
    </xf>
    <xf numFmtId="0" fontId="37" fillId="3" borderId="62" xfId="0" applyFont="1" applyFill="1" applyBorder="1" applyAlignment="1">
      <alignment horizontal="center" vertical="center" wrapText="1"/>
    </xf>
    <xf numFmtId="0" fontId="37" fillId="3" borderId="63"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22" fillId="5" borderId="7" xfId="0" applyFont="1" applyFill="1" applyBorder="1" applyAlignment="1" applyProtection="1">
      <alignment horizontal="center" vertical="center"/>
      <protection locked="0"/>
    </xf>
    <xf numFmtId="0" fontId="22" fillId="5" borderId="7" xfId="0" applyFont="1" applyFill="1" applyBorder="1" applyAlignment="1">
      <alignment horizontal="center" vertical="center"/>
    </xf>
    <xf numFmtId="0" fontId="13" fillId="16" borderId="35" xfId="0" applyFont="1" applyFill="1" applyBorder="1" applyAlignment="1">
      <alignment horizontal="center" vertical="center" textRotation="90"/>
    </xf>
    <xf numFmtId="0" fontId="13" fillId="16" borderId="40" xfId="0" applyFont="1" applyFill="1" applyBorder="1" applyAlignment="1">
      <alignment horizontal="center" vertical="center" textRotation="90"/>
    </xf>
    <xf numFmtId="0" fontId="13" fillId="16" borderId="8" xfId="0" applyFont="1" applyFill="1" applyBorder="1" applyAlignment="1">
      <alignment horizontal="center" vertical="center" textRotation="90"/>
    </xf>
    <xf numFmtId="0" fontId="38" fillId="0" borderId="62" xfId="0" applyFont="1" applyBorder="1" applyAlignment="1">
      <alignment horizontal="center" vertical="center" wrapText="1"/>
    </xf>
    <xf numFmtId="0" fontId="38" fillId="0" borderId="63"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68" xfId="0" applyFont="1" applyBorder="1" applyAlignment="1">
      <alignment horizontal="center" vertical="center" wrapText="1"/>
    </xf>
    <xf numFmtId="0" fontId="9" fillId="0" borderId="6" xfId="0" applyFont="1" applyBorder="1" applyAlignment="1">
      <alignment horizontal="center"/>
    </xf>
    <xf numFmtId="0" fontId="9" fillId="0" borderId="69" xfId="0" applyFont="1" applyBorder="1" applyAlignment="1">
      <alignment horizontal="center"/>
    </xf>
    <xf numFmtId="1" fontId="9" fillId="0" borderId="0" xfId="0" applyNumberFormat="1" applyFont="1" applyAlignment="1">
      <alignment horizontal="left" vertical="center" wrapText="1"/>
    </xf>
    <xf numFmtId="0" fontId="8" fillId="0" borderId="58" xfId="0" applyFont="1" applyBorder="1" applyAlignment="1">
      <alignment horizontal="center" vertical="center"/>
    </xf>
    <xf numFmtId="0" fontId="8" fillId="0" borderId="13" xfId="0" applyFont="1" applyBorder="1" applyAlignment="1">
      <alignment horizontal="center" vertical="center"/>
    </xf>
    <xf numFmtId="0" fontId="8" fillId="0" borderId="59" xfId="0" applyFont="1" applyBorder="1" applyAlignment="1">
      <alignment horizontal="center" vertical="center"/>
    </xf>
    <xf numFmtId="0" fontId="9" fillId="0" borderId="0" xfId="0" applyFont="1" applyAlignment="1">
      <alignment wrapText="1"/>
    </xf>
    <xf numFmtId="0" fontId="35" fillId="0" borderId="58" xfId="0" applyFont="1" applyBorder="1" applyAlignment="1">
      <alignment horizontal="center" vertical="center"/>
    </xf>
    <xf numFmtId="0" fontId="35" fillId="0" borderId="13" xfId="0" applyFont="1" applyBorder="1" applyAlignment="1">
      <alignment horizontal="center" vertical="center"/>
    </xf>
    <xf numFmtId="0" fontId="35" fillId="0" borderId="7" xfId="0" applyFont="1" applyBorder="1" applyAlignment="1">
      <alignment horizontal="center" vertical="center"/>
    </xf>
    <xf numFmtId="0" fontId="28" fillId="0" borderId="0" xfId="0" applyFont="1" applyAlignment="1">
      <alignment horizontal="left"/>
    </xf>
    <xf numFmtId="0" fontId="0" fillId="0" borderId="0" xfId="0" applyAlignment="1">
      <alignment horizontal="left"/>
    </xf>
    <xf numFmtId="0" fontId="17" fillId="4" borderId="5" xfId="0" applyFont="1" applyFill="1" applyBorder="1" applyAlignment="1">
      <alignment horizontal="center" vertical="center"/>
    </xf>
    <xf numFmtId="0" fontId="17" fillId="4" borderId="10"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25" fillId="4" borderId="7" xfId="0" applyFont="1" applyFill="1" applyBorder="1" applyAlignment="1" applyProtection="1">
      <alignment horizontal="center" vertical="center"/>
      <protection locked="0"/>
    </xf>
    <xf numFmtId="0" fontId="25" fillId="4" borderId="5"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51" fillId="0" borderId="0" xfId="0" applyFont="1" applyAlignment="1">
      <alignment horizontal="center" vertical="center" wrapText="1"/>
    </xf>
    <xf numFmtId="0" fontId="14" fillId="0" borderId="0" xfId="0" applyFont="1" applyBorder="1" applyAlignment="1">
      <alignment vertical="center" textRotation="45"/>
    </xf>
    <xf numFmtId="0" fontId="14" fillId="0" borderId="0" xfId="0" applyFont="1" applyBorder="1" applyAlignment="1">
      <alignment horizontal="center" vertical="center"/>
    </xf>
    <xf numFmtId="0" fontId="17" fillId="0" borderId="0" xfId="0" applyFont="1" applyBorder="1" applyAlignment="1">
      <alignment horizontal="center" vertical="center"/>
    </xf>
    <xf numFmtId="0" fontId="25" fillId="0" borderId="0" xfId="0" applyFont="1" applyBorder="1" applyAlignment="1" applyProtection="1">
      <alignment horizontal="center" vertical="center"/>
      <protection locked="0"/>
    </xf>
    <xf numFmtId="0" fontId="0" fillId="0" borderId="0" xfId="0" applyBorder="1" applyAlignment="1">
      <alignment/>
    </xf>
    <xf numFmtId="0" fontId="27" fillId="0" borderId="0" xfId="0" applyFont="1" applyBorder="1" applyAlignment="1">
      <alignment/>
    </xf>
    <xf numFmtId="170" fontId="0" fillId="0" borderId="0" xfId="0" applyNumberFormat="1" applyBorder="1" applyAlignment="1">
      <alignment/>
    </xf>
    <xf numFmtId="0" fontId="17" fillId="0" borderId="11" xfId="0" applyFont="1" applyBorder="1" applyAlignment="1">
      <alignment horizontal="center" vertical="center"/>
    </xf>
    <xf numFmtId="0" fontId="22"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0" fillId="0" borderId="0" xfId="0" applyFill="1" applyAlignment="1">
      <alignment/>
    </xf>
    <xf numFmtId="0" fontId="35" fillId="0" borderId="21" xfId="0" applyFont="1" applyBorder="1" applyAlignment="1">
      <alignment horizontal="center" vertical="center"/>
    </xf>
    <xf numFmtId="0" fontId="9" fillId="0" borderId="25" xfId="0" applyFont="1" applyBorder="1" applyAlignment="1">
      <alignment horizontal="center"/>
    </xf>
    <xf numFmtId="20" fontId="9" fillId="0" borderId="25" xfId="0" applyNumberFormat="1" applyFont="1" applyBorder="1" applyAlignment="1">
      <alignment horizontal="center"/>
    </xf>
    <xf numFmtId="0" fontId="35" fillId="0" borderId="42" xfId="0" applyFont="1" applyBorder="1" applyAlignment="1">
      <alignment horizontal="center" vertical="center"/>
    </xf>
    <xf numFmtId="0" fontId="9" fillId="0" borderId="27" xfId="0" applyFont="1" applyBorder="1" applyAlignment="1">
      <alignment horizontal="center"/>
    </xf>
    <xf numFmtId="20" fontId="9" fillId="0" borderId="27" xfId="0" applyNumberFormat="1" applyFont="1" applyBorder="1" applyAlignment="1">
      <alignment horizontal="center"/>
    </xf>
    <xf numFmtId="0" fontId="35" fillId="0" borderId="43" xfId="0" applyFont="1" applyBorder="1" applyAlignment="1">
      <alignment horizontal="center" vertical="center"/>
    </xf>
    <xf numFmtId="0" fontId="9" fillId="0" borderId="29" xfId="0" applyFont="1" applyBorder="1" applyAlignment="1">
      <alignment horizontal="center"/>
    </xf>
    <xf numFmtId="20" fontId="9" fillId="0" borderId="29" xfId="0" applyNumberFormat="1" applyFont="1" applyBorder="1" applyAlignment="1">
      <alignment horizontal="center"/>
    </xf>
    <xf numFmtId="0" fontId="9" fillId="0" borderId="34" xfId="0" applyFont="1" applyBorder="1" applyAlignment="1">
      <alignment horizontal="center"/>
    </xf>
    <xf numFmtId="20" fontId="9" fillId="0" borderId="41" xfId="0" applyNumberFormat="1"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9" fillId="0" borderId="41" xfId="0" applyFont="1" applyBorder="1" applyAlignment="1">
      <alignment horizontal="left" indent="1"/>
    </xf>
    <xf numFmtId="0" fontId="9" fillId="0" borderId="45" xfId="0" applyFont="1" applyBorder="1" applyAlignment="1">
      <alignment horizontal="left" indent="1"/>
    </xf>
    <xf numFmtId="0" fontId="9" fillId="0" borderId="27" xfId="0" applyFont="1" applyBorder="1" applyAlignment="1">
      <alignment horizontal="left" indent="1"/>
    </xf>
    <xf numFmtId="0" fontId="9" fillId="0" borderId="28" xfId="0" applyFont="1" applyBorder="1" applyAlignment="1">
      <alignment horizontal="left" indent="1"/>
    </xf>
    <xf numFmtId="0" fontId="9" fillId="0" borderId="29" xfId="0" applyFont="1" applyBorder="1" applyAlignment="1">
      <alignment horizontal="left" indent="1"/>
    </xf>
    <xf numFmtId="0" fontId="9" fillId="0" borderId="30" xfId="0" applyFont="1" applyBorder="1" applyAlignment="1">
      <alignment horizontal="left" indent="1"/>
    </xf>
    <xf numFmtId="0" fontId="9" fillId="0" borderId="25" xfId="0" applyFont="1" applyBorder="1" applyAlignment="1">
      <alignment horizontal="left" indent="1"/>
    </xf>
    <xf numFmtId="0" fontId="9" fillId="0" borderId="26" xfId="0" applyFont="1" applyBorder="1" applyAlignment="1">
      <alignment horizontal="left" indent="1"/>
    </xf>
  </cellXfs>
  <cellStyles count="9">
    <cellStyle name="Normal" xfId="0"/>
    <cellStyle name="Comma" xfId="15"/>
    <cellStyle name="Comma [0]" xfId="16"/>
    <cellStyle name="Currency" xfId="17"/>
    <cellStyle name="Currency [0]" xfId="18"/>
    <cellStyle name="Followed Hyperlink" xfId="19"/>
    <cellStyle name="Hyperlink" xfId="20"/>
    <cellStyle name="Normal_Scrimmage Scoring" xfId="21"/>
    <cellStyle name="Percent" xfId="22"/>
  </cellStyles>
  <dxfs count="6">
    <dxf>
      <fill>
        <patternFill>
          <bgColor rgb="FF00FFFF"/>
        </patternFill>
      </fill>
      <border/>
    </dxf>
    <dxf>
      <fill>
        <patternFill>
          <bgColor rgb="FFFFFF00"/>
        </patternFill>
      </fill>
      <border/>
    </dxf>
    <dxf>
      <fill>
        <patternFill>
          <bgColor rgb="FFFF0000"/>
        </patternFill>
      </fill>
      <border/>
    </dxf>
    <dxf>
      <font>
        <i val="0"/>
        <color auto="1"/>
      </font>
      <fill>
        <patternFill patternType="solid">
          <bgColor rgb="FFFF0000"/>
        </patternFill>
      </fill>
      <border/>
    </dxf>
    <dxf>
      <font>
        <i val="0"/>
        <color rgb="FFFFFFFF"/>
      </font>
      <border/>
    </dxf>
    <dxf>
      <font>
        <i val="0"/>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Y30"/>
  <sheetViews>
    <sheetView tabSelected="1" workbookViewId="0" topLeftCell="A1">
      <selection activeCell="B1" sqref="B1"/>
    </sheetView>
  </sheetViews>
  <sheetFormatPr defaultColWidth="9.140625" defaultRowHeight="12.75"/>
  <cols>
    <col min="1" max="1" width="1.57421875" style="1" customWidth="1"/>
    <col min="2" max="2" width="104.28125" style="2" customWidth="1"/>
    <col min="3" max="14" width="7.140625" style="1" customWidth="1"/>
    <col min="15" max="17" width="6.8515625" style="1" customWidth="1"/>
    <col min="18" max="19" width="6.28125" style="1" customWidth="1"/>
    <col min="20" max="16384" width="9.140625" style="1" customWidth="1"/>
  </cols>
  <sheetData>
    <row r="1" ht="34.5" thickTop="1">
      <c r="B1" s="3" t="s">
        <v>215</v>
      </c>
    </row>
    <row r="2" ht="75" thickBot="1">
      <c r="B2" s="4" t="s">
        <v>214</v>
      </c>
    </row>
    <row r="3" ht="8.25" customHeight="1" thickBot="1" thickTop="1">
      <c r="B3" s="5"/>
    </row>
    <row r="4" ht="16.5" thickTop="1">
      <c r="B4" s="6" t="s">
        <v>0</v>
      </c>
    </row>
    <row r="5" ht="12.75">
      <c r="B5" s="7" t="s">
        <v>1</v>
      </c>
    </row>
    <row r="6" ht="12.75">
      <c r="B6" s="8" t="s">
        <v>2</v>
      </c>
    </row>
    <row r="7" ht="25.5">
      <c r="B7" s="7" t="s">
        <v>204</v>
      </c>
    </row>
    <row r="8" ht="12.75">
      <c r="B8" s="7" t="s">
        <v>3</v>
      </c>
    </row>
    <row r="9" ht="15.75" customHeight="1" thickBot="1">
      <c r="B9" s="9" t="s">
        <v>4</v>
      </c>
    </row>
    <row r="10" ht="9.75" customHeight="1" thickBot="1" thickTop="1">
      <c r="B10" s="10"/>
    </row>
    <row r="11" spans="2:25" s="11" customFormat="1" ht="51" customHeight="1" thickTop="1">
      <c r="B11" s="244" t="s">
        <v>210</v>
      </c>
      <c r="C11" s="12"/>
      <c r="D11" s="12"/>
      <c r="E11" s="12"/>
      <c r="F11" s="12"/>
      <c r="G11" s="12"/>
      <c r="H11" s="12"/>
      <c r="I11" s="12"/>
      <c r="J11" s="12"/>
      <c r="K11" s="12"/>
      <c r="L11" s="12"/>
      <c r="M11" s="12"/>
      <c r="N11" s="12"/>
      <c r="O11" s="12"/>
      <c r="P11" s="12"/>
      <c r="Q11" s="12"/>
      <c r="R11" s="12"/>
      <c r="S11" s="12"/>
      <c r="T11" s="12"/>
      <c r="U11" s="12"/>
      <c r="V11" s="12"/>
      <c r="W11" s="12"/>
      <c r="X11" s="12"/>
      <c r="Y11" s="12"/>
    </row>
    <row r="12" spans="2:20" s="11" customFormat="1" ht="11.25" customHeight="1" thickBot="1">
      <c r="B12" s="13"/>
      <c r="C12" s="12"/>
      <c r="D12" s="12"/>
      <c r="E12" s="12"/>
      <c r="F12" s="12"/>
      <c r="G12" s="12"/>
      <c r="H12" s="12"/>
      <c r="I12" s="12"/>
      <c r="J12" s="12"/>
      <c r="K12" s="12"/>
      <c r="L12" s="12"/>
      <c r="M12" s="12"/>
      <c r="N12" s="12"/>
      <c r="O12" s="12"/>
      <c r="P12" s="12"/>
      <c r="Q12" s="12"/>
      <c r="R12" s="12"/>
      <c r="S12" s="12"/>
      <c r="T12" s="12"/>
    </row>
    <row r="13" ht="16.5" thickBot="1">
      <c r="B13" s="245" t="s">
        <v>212</v>
      </c>
    </row>
    <row r="14" spans="2:20" s="11" customFormat="1" ht="31.5">
      <c r="B14" s="248" t="s">
        <v>211</v>
      </c>
      <c r="C14" s="12"/>
      <c r="D14" s="12"/>
      <c r="E14" s="12"/>
      <c r="F14" s="12"/>
      <c r="G14" s="12"/>
      <c r="H14" s="12"/>
      <c r="I14" s="12"/>
      <c r="J14" s="12"/>
      <c r="K14" s="12"/>
      <c r="L14" s="12"/>
      <c r="M14" s="12"/>
      <c r="N14" s="12"/>
      <c r="O14" s="12"/>
      <c r="P14" s="12"/>
      <c r="Q14" s="12"/>
      <c r="R14" s="12"/>
      <c r="S14" s="12"/>
      <c r="T14" s="12"/>
    </row>
    <row r="15" spans="2:20" s="11" customFormat="1" ht="38.25">
      <c r="B15" s="249" t="s">
        <v>203</v>
      </c>
      <c r="C15" s="12"/>
      <c r="D15" s="12"/>
      <c r="E15" s="12"/>
      <c r="F15" s="12"/>
      <c r="G15" s="12"/>
      <c r="H15" s="12"/>
      <c r="I15" s="12"/>
      <c r="J15" s="12"/>
      <c r="K15" s="12"/>
      <c r="L15" s="12"/>
      <c r="M15" s="12"/>
      <c r="N15" s="12"/>
      <c r="O15" s="12"/>
      <c r="P15" s="12"/>
      <c r="Q15" s="12"/>
      <c r="R15" s="12"/>
      <c r="S15" s="12"/>
      <c r="T15" s="12"/>
    </row>
    <row r="16" spans="2:20" s="11" customFormat="1" ht="12.75">
      <c r="B16" s="250" t="s">
        <v>205</v>
      </c>
      <c r="C16" s="12"/>
      <c r="D16" s="12"/>
      <c r="E16" s="12"/>
      <c r="F16" s="12"/>
      <c r="G16" s="12"/>
      <c r="H16" s="12"/>
      <c r="I16" s="12"/>
      <c r="J16" s="12"/>
      <c r="K16" s="12"/>
      <c r="L16" s="12"/>
      <c r="M16" s="12"/>
      <c r="N16" s="12"/>
      <c r="O16" s="12"/>
      <c r="P16" s="12"/>
      <c r="Q16" s="12"/>
      <c r="R16" s="12"/>
      <c r="S16" s="12"/>
      <c r="T16" s="12"/>
    </row>
    <row r="17" spans="2:20" s="11" customFormat="1" ht="12.75">
      <c r="B17" s="250" t="s">
        <v>5</v>
      </c>
      <c r="C17" s="12"/>
      <c r="D17" s="12"/>
      <c r="E17" s="12"/>
      <c r="F17" s="12"/>
      <c r="G17" s="12"/>
      <c r="H17" s="12"/>
      <c r="I17" s="12"/>
      <c r="J17" s="12"/>
      <c r="K17" s="12"/>
      <c r="L17" s="12"/>
      <c r="M17" s="12"/>
      <c r="N17" s="12"/>
      <c r="O17" s="12"/>
      <c r="P17" s="12"/>
      <c r="Q17" s="12"/>
      <c r="R17" s="12"/>
      <c r="S17" s="12"/>
      <c r="T17" s="12"/>
    </row>
    <row r="18" spans="2:20" s="11" customFormat="1" ht="15.75" customHeight="1" thickBot="1">
      <c r="B18" s="251" t="s">
        <v>206</v>
      </c>
      <c r="C18" s="12"/>
      <c r="D18" s="12"/>
      <c r="E18" s="12"/>
      <c r="F18" s="12"/>
      <c r="G18" s="12"/>
      <c r="H18" s="12"/>
      <c r="I18" s="12"/>
      <c r="J18" s="12"/>
      <c r="K18" s="12"/>
      <c r="L18" s="12"/>
      <c r="M18" s="12"/>
      <c r="N18" s="12"/>
      <c r="O18" s="12"/>
      <c r="P18" s="12"/>
      <c r="Q18" s="12"/>
      <c r="R18" s="12"/>
      <c r="S18" s="12"/>
      <c r="T18" s="12"/>
    </row>
    <row r="19" spans="2:25" s="11" customFormat="1" ht="15.75" customHeight="1" thickBot="1" thickTop="1">
      <c r="B19" s="253" t="s">
        <v>213</v>
      </c>
      <c r="C19" s="12"/>
      <c r="D19" s="12"/>
      <c r="E19" s="12"/>
      <c r="F19" s="12"/>
      <c r="G19" s="12"/>
      <c r="H19" s="12"/>
      <c r="I19" s="12"/>
      <c r="J19" s="12"/>
      <c r="K19" s="12"/>
      <c r="L19" s="12"/>
      <c r="M19" s="12"/>
      <c r="N19" s="12"/>
      <c r="O19" s="12"/>
      <c r="P19" s="12"/>
      <c r="Q19" s="12"/>
      <c r="R19" s="12"/>
      <c r="S19" s="12"/>
      <c r="T19" s="12"/>
      <c r="U19" s="12"/>
      <c r="V19" s="12"/>
      <c r="W19" s="12"/>
      <c r="X19" s="12"/>
      <c r="Y19" s="12"/>
    </row>
    <row r="20" spans="2:25" s="11" customFormat="1" ht="27" customHeight="1" thickTop="1">
      <c r="B20" s="252" t="s">
        <v>208</v>
      </c>
      <c r="C20" s="12"/>
      <c r="D20" s="12"/>
      <c r="E20" s="12"/>
      <c r="F20" s="12"/>
      <c r="G20" s="12"/>
      <c r="H20" s="12"/>
      <c r="I20" s="12"/>
      <c r="J20" s="12"/>
      <c r="K20" s="12"/>
      <c r="L20" s="12"/>
      <c r="M20" s="12"/>
      <c r="N20" s="12"/>
      <c r="O20" s="12"/>
      <c r="P20" s="12"/>
      <c r="Q20" s="12"/>
      <c r="R20" s="12"/>
      <c r="S20" s="12"/>
      <c r="T20" s="12"/>
      <c r="U20" s="12"/>
      <c r="V20" s="12"/>
      <c r="W20" s="12"/>
      <c r="X20" s="12"/>
      <c r="Y20" s="12"/>
    </row>
    <row r="21" spans="2:20" s="11" customFormat="1" ht="13.5" thickBot="1">
      <c r="B21" s="10"/>
      <c r="C21" s="12"/>
      <c r="D21" s="12"/>
      <c r="E21" s="12"/>
      <c r="F21" s="12"/>
      <c r="G21" s="12"/>
      <c r="H21" s="12"/>
      <c r="I21" s="12"/>
      <c r="J21" s="12"/>
      <c r="K21" s="12"/>
      <c r="L21" s="12"/>
      <c r="M21" s="12"/>
      <c r="N21" s="12"/>
      <c r="O21" s="12"/>
      <c r="P21" s="12"/>
      <c r="Q21" s="12"/>
      <c r="R21" s="12"/>
      <c r="S21" s="12"/>
      <c r="T21" s="12"/>
    </row>
    <row r="22" ht="15.75">
      <c r="B22" s="245" t="s">
        <v>207</v>
      </c>
    </row>
    <row r="23" ht="51.75" customHeight="1">
      <c r="B23" s="246" t="s">
        <v>209</v>
      </c>
    </row>
    <row r="24" spans="2:20" s="11" customFormat="1" ht="72" customHeight="1" thickBot="1">
      <c r="B24" s="247" t="s">
        <v>216</v>
      </c>
      <c r="C24" s="12"/>
      <c r="D24" s="12"/>
      <c r="E24" s="12"/>
      <c r="F24" s="12"/>
      <c r="G24" s="12"/>
      <c r="H24" s="12"/>
      <c r="I24" s="12"/>
      <c r="J24" s="12"/>
      <c r="K24" s="12"/>
      <c r="L24" s="12"/>
      <c r="M24" s="12"/>
      <c r="N24" s="12"/>
      <c r="O24" s="12"/>
      <c r="P24" s="12"/>
      <c r="Q24" s="12"/>
      <c r="R24" s="12"/>
      <c r="S24" s="12"/>
      <c r="T24" s="12"/>
    </row>
    <row r="25" spans="2:20" s="11" customFormat="1" ht="25.5" hidden="1">
      <c r="B25" s="8" t="s">
        <v>6</v>
      </c>
      <c r="C25" s="12"/>
      <c r="D25" s="12"/>
      <c r="E25" s="12"/>
      <c r="F25" s="12"/>
      <c r="G25" s="12"/>
      <c r="H25" s="12"/>
      <c r="I25" s="12"/>
      <c r="J25" s="12"/>
      <c r="K25" s="12"/>
      <c r="L25" s="12"/>
      <c r="M25" s="12"/>
      <c r="N25" s="12"/>
      <c r="O25" s="12"/>
      <c r="P25" s="12"/>
      <c r="Q25" s="12"/>
      <c r="R25" s="12"/>
      <c r="S25" s="12"/>
      <c r="T25" s="12"/>
    </row>
    <row r="26" spans="2:20" s="11" customFormat="1" ht="25.5" hidden="1">
      <c r="B26" s="8" t="s">
        <v>7</v>
      </c>
      <c r="C26" s="12"/>
      <c r="D26" s="12"/>
      <c r="E26" s="12"/>
      <c r="F26" s="12"/>
      <c r="G26" s="12"/>
      <c r="H26" s="12"/>
      <c r="I26" s="12"/>
      <c r="J26" s="12"/>
      <c r="K26" s="12"/>
      <c r="L26" s="12"/>
      <c r="M26" s="12"/>
      <c r="N26" s="12"/>
      <c r="O26" s="12"/>
      <c r="P26" s="12"/>
      <c r="Q26" s="12"/>
      <c r="R26" s="12"/>
      <c r="S26" s="12"/>
      <c r="T26" s="12"/>
    </row>
    <row r="27" spans="2:20" s="11" customFormat="1" ht="25.5" hidden="1">
      <c r="B27" s="8" t="s">
        <v>8</v>
      </c>
      <c r="C27" s="12"/>
      <c r="D27" s="12"/>
      <c r="E27" s="12"/>
      <c r="F27" s="12"/>
      <c r="G27" s="12"/>
      <c r="H27" s="12"/>
      <c r="I27" s="12"/>
      <c r="J27" s="12"/>
      <c r="K27" s="12"/>
      <c r="L27" s="12"/>
      <c r="M27" s="12"/>
      <c r="N27" s="12"/>
      <c r="O27" s="12"/>
      <c r="P27" s="12"/>
      <c r="Q27" s="12"/>
      <c r="R27" s="12"/>
      <c r="S27" s="12"/>
      <c r="T27" s="12"/>
    </row>
    <row r="28" spans="2:20" s="11" customFormat="1" ht="12.75">
      <c r="B28" s="254"/>
      <c r="C28" s="12"/>
      <c r="D28" s="12"/>
      <c r="E28" s="12"/>
      <c r="F28" s="12"/>
      <c r="G28" s="12"/>
      <c r="H28" s="12"/>
      <c r="I28" s="12"/>
      <c r="J28" s="12"/>
      <c r="K28" s="12"/>
      <c r="L28" s="12"/>
      <c r="M28" s="12"/>
      <c r="N28" s="12"/>
      <c r="O28" s="12"/>
      <c r="P28" s="12"/>
      <c r="Q28" s="12"/>
      <c r="R28" s="12"/>
      <c r="S28" s="12"/>
      <c r="T28" s="12"/>
    </row>
    <row r="29" ht="15.75" customHeight="1">
      <c r="B29" s="255" t="s">
        <v>9</v>
      </c>
    </row>
    <row r="30" ht="13.5" thickBot="1">
      <c r="B30" s="256" t="s">
        <v>10</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V158"/>
  <sheetViews>
    <sheetView zoomScale="75" zoomScaleNormal="75" workbookViewId="0" topLeftCell="A1">
      <pane ySplit="4" topLeftCell="BM5" activePane="bottomLeft" state="frozen"/>
      <selection pane="topLeft" activeCell="D1" sqref="D1"/>
      <selection pane="bottomLeft" activeCell="B3" sqref="B3:B4"/>
    </sheetView>
  </sheetViews>
  <sheetFormatPr defaultColWidth="9.140625" defaultRowHeight="12.75"/>
  <cols>
    <col min="1" max="1" width="5.140625" style="15" customWidth="1"/>
    <col min="2" max="2" width="9.28125" style="14" customWidth="1"/>
    <col min="3" max="3" width="9.140625" style="14" customWidth="1"/>
    <col min="4" max="4" width="35.7109375" style="15" customWidth="1"/>
    <col min="5" max="5" width="12.421875" style="14" customWidth="1"/>
    <col min="6" max="7" width="8.421875" style="14" customWidth="1"/>
    <col min="8" max="8" width="8.00390625" style="14" customWidth="1"/>
    <col min="9" max="20" width="8.421875" style="14" customWidth="1"/>
    <col min="21" max="21" width="9.140625" style="14" customWidth="1"/>
    <col min="22" max="22" width="6.28125" style="14" customWidth="1"/>
    <col min="23" max="16384" width="9.140625" style="14" customWidth="1"/>
  </cols>
  <sheetData>
    <row r="1" spans="1:20" s="16" customFormat="1" ht="1.5" customHeight="1" thickBot="1">
      <c r="A1" s="17"/>
      <c r="D1" s="17"/>
      <c r="E1" s="17"/>
      <c r="F1" s="17"/>
      <c r="G1" s="17"/>
      <c r="H1" s="17"/>
      <c r="I1" s="17"/>
      <c r="J1" s="17"/>
      <c r="K1" s="17"/>
      <c r="L1" s="17"/>
      <c r="M1" s="17"/>
      <c r="N1" s="17"/>
      <c r="O1" s="17"/>
      <c r="P1" s="17"/>
      <c r="Q1" s="17"/>
      <c r="R1" s="17"/>
      <c r="S1" s="17"/>
      <c r="T1" s="17"/>
    </row>
    <row r="2" spans="1:19" s="16" customFormat="1" ht="123" customHeight="1" thickBot="1">
      <c r="A2" s="17"/>
      <c r="B2" s="18"/>
      <c r="C2" s="19"/>
      <c r="D2" s="19"/>
      <c r="E2" s="20"/>
      <c r="F2" s="21" t="s">
        <v>278</v>
      </c>
      <c r="G2" s="22" t="s">
        <v>11</v>
      </c>
      <c r="H2" s="23" t="s">
        <v>12</v>
      </c>
      <c r="I2" s="23" t="s">
        <v>13</v>
      </c>
      <c r="J2" s="24" t="s">
        <v>14</v>
      </c>
      <c r="K2" s="24" t="s">
        <v>15</v>
      </c>
      <c r="L2" s="25" t="s">
        <v>16</v>
      </c>
      <c r="M2" s="23" t="s">
        <v>17</v>
      </c>
      <c r="N2" s="26" t="s">
        <v>18</v>
      </c>
      <c r="O2" s="27" t="s">
        <v>19</v>
      </c>
      <c r="P2" s="23" t="s">
        <v>20</v>
      </c>
      <c r="Q2" s="28" t="s">
        <v>279</v>
      </c>
      <c r="R2" s="23" t="s">
        <v>21</v>
      </c>
      <c r="S2" s="23" t="s">
        <v>22</v>
      </c>
    </row>
    <row r="3" spans="1:19" s="16" customFormat="1" ht="21.75" customHeight="1" thickBot="1">
      <c r="A3" s="17"/>
      <c r="B3" s="237" t="s">
        <v>201</v>
      </c>
      <c r="C3" s="29"/>
      <c r="D3" s="29"/>
      <c r="E3" s="30" t="s">
        <v>23</v>
      </c>
      <c r="F3" s="31" t="s">
        <v>24</v>
      </c>
      <c r="G3" s="32" t="s">
        <v>25</v>
      </c>
      <c r="H3" s="311" t="s">
        <v>26</v>
      </c>
      <c r="I3" s="312"/>
      <c r="J3" s="315" t="s">
        <v>27</v>
      </c>
      <c r="K3" s="316"/>
      <c r="L3" s="317" t="s">
        <v>28</v>
      </c>
      <c r="M3" s="312"/>
      <c r="N3" s="318" t="s">
        <v>29</v>
      </c>
      <c r="O3" s="319"/>
      <c r="P3" s="33" t="s">
        <v>30</v>
      </c>
      <c r="Q3" s="34" t="s">
        <v>31</v>
      </c>
      <c r="R3" s="311" t="s">
        <v>32</v>
      </c>
      <c r="S3" s="312"/>
    </row>
    <row r="4" spans="1:19" s="16" customFormat="1" ht="23.25" customHeight="1" thickBot="1">
      <c r="A4" s="17"/>
      <c r="B4" s="35" t="s">
        <v>202</v>
      </c>
      <c r="C4" s="35"/>
      <c r="D4" s="35"/>
      <c r="E4" s="36">
        <v>400</v>
      </c>
      <c r="F4" s="37">
        <v>40</v>
      </c>
      <c r="G4" s="37">
        <v>40</v>
      </c>
      <c r="H4" s="37">
        <v>30</v>
      </c>
      <c r="I4" s="37" t="s">
        <v>33</v>
      </c>
      <c r="J4" s="37">
        <v>25</v>
      </c>
      <c r="K4" s="37">
        <v>35</v>
      </c>
      <c r="L4" s="37">
        <v>25</v>
      </c>
      <c r="M4" s="37">
        <v>35</v>
      </c>
      <c r="N4" s="37">
        <v>35</v>
      </c>
      <c r="O4" s="37">
        <v>40</v>
      </c>
      <c r="P4" s="37">
        <v>40</v>
      </c>
      <c r="Q4" s="37">
        <v>30</v>
      </c>
      <c r="R4" s="37" t="s">
        <v>34</v>
      </c>
      <c r="S4" s="37" t="s">
        <v>35</v>
      </c>
    </row>
    <row r="5" spans="1:19" s="38" customFormat="1" ht="17.25" customHeight="1" thickBot="1">
      <c r="A5" s="39" t="s">
        <v>36</v>
      </c>
      <c r="B5" s="40" t="s">
        <v>37</v>
      </c>
      <c r="C5" s="40" t="s">
        <v>38</v>
      </c>
      <c r="D5" s="41" t="s">
        <v>39</v>
      </c>
      <c r="E5" s="42">
        <f>IF(OR(J5&lt;&gt;"",N5&lt;&gt;"",R5&lt;&gt;"",L5&lt;&gt;"",H5&lt;&gt;""),"Error","")</f>
      </c>
      <c r="F5" s="43"/>
      <c r="G5" s="44"/>
      <c r="H5" s="313">
        <f>IF(OR(AND(I6&gt;0,H6&lt;&gt;"Y"),AND(I7&gt;0,H7&lt;&gt;"Y")),CONCATENATE("Mark ",CHAR(34),"Any Flag Up",CHAR(34)),"")</f>
      </c>
      <c r="I5" s="313"/>
      <c r="J5" s="313">
        <f>IF(OR((AND(J6="y",K6="y")),(AND(J7="y",K7="y"))),"Too Many Artifacts","")</f>
      </c>
      <c r="K5" s="313"/>
      <c r="L5" s="313">
        <f>IF(AND(L6="Y",L7="Y"),"Too Many Dolphins","")</f>
      </c>
      <c r="M5" s="313"/>
      <c r="N5" s="313">
        <f>IF(OR((AND(N6="y",O6="y")),(AND(N7="y",O7="y"))),"Only 1 Sub","")</f>
      </c>
      <c r="O5" s="313"/>
      <c r="P5" s="45"/>
      <c r="Q5" s="46"/>
      <c r="R5" s="313">
        <f>IF(OR(R6+S6&gt;8,R7+S7&gt;8),"Too Many Crates","")</f>
      </c>
      <c r="S5" s="314"/>
    </row>
    <row r="6" spans="1:19" s="16" customFormat="1" ht="24.75" customHeight="1" thickBot="1">
      <c r="A6" s="47">
        <v>0</v>
      </c>
      <c r="B6" s="48">
        <v>1</v>
      </c>
      <c r="C6" s="49"/>
      <c r="D6" s="50" t="s">
        <v>40</v>
      </c>
      <c r="E6" s="51">
        <f>IF(NOT(OR(AND($H6&lt;&gt;"Y",$I6&gt;0),AND($J6="Y",$K6="Y"),AND($L6="Y",$L7="Y"),AND($N6="Y",$O6="Y"),OR($R6+$S6&gt;8,$R6+$S6&lt;0))),(IF(F6="y",$F$4,0))+(IF(P6="y",$P$4,0))+(IF(G6="y",$G$4,0))+(IF(H6="y",$H$4,0))+IF(AND(J6="Y",K6="Y"),0,((IF(J6="y",$J$4,0))+(IF(K6="y",$K$4,0))))+(IF(L6="y",$L$4,0))+(IF(M6="y",$M$4,0))+IF(AND(N6="Y",O6="Y"),0,(IF(N6="y",$N$4,0))+(IF(O6="y",$O$4,0)))+(IF(Q6="y",$Q$4,0))+IF((R6+S6&lt;=8),(IF((0&lt;R6)*(R6&lt;=8),R6*2,0))+(IF((0&lt;S6)*(S6&lt;=8),S6*5,0)),0)+IF((I6&lt;=3)*(I6&gt;=0),I6*15,0),"Error")</f>
        <v>400</v>
      </c>
      <c r="F6" s="52" t="s">
        <v>41</v>
      </c>
      <c r="G6" s="52" t="s">
        <v>41</v>
      </c>
      <c r="H6" s="52" t="s">
        <v>41</v>
      </c>
      <c r="I6" s="52">
        <v>3</v>
      </c>
      <c r="J6" s="52" t="s">
        <v>42</v>
      </c>
      <c r="K6" s="52" t="s">
        <v>41</v>
      </c>
      <c r="L6" s="52" t="s">
        <v>41</v>
      </c>
      <c r="M6" s="52" t="s">
        <v>41</v>
      </c>
      <c r="N6" s="52" t="s">
        <v>42</v>
      </c>
      <c r="O6" s="52" t="s">
        <v>41</v>
      </c>
      <c r="P6" s="52" t="s">
        <v>41</v>
      </c>
      <c r="Q6" s="52" t="s">
        <v>41</v>
      </c>
      <c r="R6" s="53"/>
      <c r="S6" s="52">
        <v>8</v>
      </c>
    </row>
    <row r="7" spans="1:19" s="16" customFormat="1" ht="24.75" customHeight="1" thickBot="1">
      <c r="A7" s="54"/>
      <c r="B7" s="56">
        <v>2</v>
      </c>
      <c r="C7" s="57"/>
      <c r="D7" s="58"/>
      <c r="E7" s="59">
        <f>IF(NOT(OR(AND($H7&lt;&gt;"Y",$I7&gt;0),AND($J7="Y",$K7="Y"),AND($L7="Y",$L6="Y"),AND($N7="Y",$O7="Y"),OR($R7+$S7&gt;8,$R7+$S7&lt;0))),(IF(F7="y",$F$4,0))+(IF(P7="y",$P$4,0))+(IF(G7="y",$G$4,0))+(IF(H7="y",$H$4,0))+IF(AND(J7="Y",K7="Y"),0,((IF(J7="y",$J$4,0))+(IF(K7="y",$K$4,0))))+(IF(L7="y",$L$4,0))+(IF(M7="y",$M$4,0))+IF(AND(N7="Y",O7="Y"),0,(IF(N7="y",$N$4,0))+(IF(O7="y",$O$4,0)))+(IF(Q7="y",$Q$4,0))+IF((R7+S7&lt;=8),(IF((0&lt;R7)*(R7&lt;=8),R7*2,0))+(IF((0&lt;S7)*(S7&lt;=8),S7*5,0)),0)+IF((I7&lt;=3)*(I7&gt;=0),I7*15,0),"Error")</f>
        <v>0</v>
      </c>
      <c r="F7" s="53"/>
      <c r="G7" s="53"/>
      <c r="H7" s="53"/>
      <c r="I7" s="53"/>
      <c r="J7" s="53"/>
      <c r="K7" s="53"/>
      <c r="L7" s="53"/>
      <c r="M7" s="53"/>
      <c r="N7" s="53"/>
      <c r="O7" s="53"/>
      <c r="P7" s="53"/>
      <c r="Q7" s="53"/>
      <c r="R7" s="53"/>
      <c r="S7" s="53"/>
    </row>
    <row r="8" spans="1:19" s="16" customFormat="1" ht="17.25" customHeight="1" thickBot="1">
      <c r="A8" s="39" t="s">
        <v>36</v>
      </c>
      <c r="B8" s="60" t="s">
        <v>37</v>
      </c>
      <c r="C8" s="60" t="s">
        <v>38</v>
      </c>
      <c r="D8" s="61" t="s">
        <v>39</v>
      </c>
      <c r="E8" s="42">
        <f>IF(OR(J8&lt;&gt;"",N8&lt;&gt;"",R8&lt;&gt;"",L8&lt;&gt;"",H8&lt;&gt;""),"Error","")</f>
      </c>
      <c r="F8" s="62"/>
      <c r="G8" s="63"/>
      <c r="H8" s="310">
        <f>IF(OR(AND(I9&gt;0,H9&lt;&gt;"Y"),AND(I10&gt;0,H10&lt;&gt;"Y")),CONCATENATE("Mark ",CHAR(34),"Any Flag Up",CHAR(34)),"")</f>
      </c>
      <c r="I8" s="310"/>
      <c r="J8" s="310">
        <f>IF(OR((AND(J9="y",K9="y")),(AND(J10="y",K10="y"))),"Too Many Artifacts","")</f>
      </c>
      <c r="K8" s="310"/>
      <c r="L8" s="310">
        <f>IF(AND(L9="Y",L10="Y"),"Too Many Dolphins","")</f>
      </c>
      <c r="M8" s="310"/>
      <c r="N8" s="310">
        <f>IF(OR((AND(N9="y",O9="y")),(AND(N10="y",O10="y"))),"Only 1 Sub","")</f>
      </c>
      <c r="O8" s="310"/>
      <c r="P8" s="64"/>
      <c r="Q8" s="65"/>
      <c r="R8" s="310">
        <f>IF(OR(R9+S9&gt;8,R10+S10&gt;8),"Too Many Crates","")</f>
      </c>
      <c r="S8" s="310"/>
    </row>
    <row r="9" spans="1:19" s="16" customFormat="1" ht="24.75" customHeight="1" thickBot="1">
      <c r="A9" s="47">
        <f>A6+1</f>
        <v>1</v>
      </c>
      <c r="B9" s="48">
        <v>1</v>
      </c>
      <c r="C9" s="66"/>
      <c r="D9" s="67"/>
      <c r="E9" s="68">
        <f>IF(NOT(OR(AND($H9&lt;&gt;"Y",$I9&gt;0),AND($J9="Y",$K9="Y"),AND($L9="Y",$L10="Y"),AND($N9="Y",$O9="Y"),OR($R9+$S9&gt;8,$R9+$S9&lt;0))),(IF(F9="y",$F$4,0))+(IF(P9="y",$P$4,0))+(IF(G9="y",$G$4,0))+(IF(H9="y",$H$4,0))+IF(AND(J9="Y",K9="Y"),0,((IF(J9="y",$J$4,0))+(IF(K9="y",$K$4,0))))+(IF(L9="y",$L$4,0))+(IF(M9="y",$M$4,0))+IF(AND(N9="Y",O9="Y"),0,(IF(N9="y",$N$4,0))+(IF(O9="y",$O$4,0)))+(IF(Q9="y",$Q$4,0))+IF((R9+S9&lt;=8),(IF((0&lt;R9)*(R9&lt;=8),R9*2,0))+(IF((0&lt;S9)*(S9&lt;=8),S9*5,0)),0)+IF((I9&lt;=3)*(I9&gt;=0),I9*15,0),"Error")</f>
        <v>0</v>
      </c>
      <c r="F9" s="53"/>
      <c r="G9" s="53"/>
      <c r="H9" s="53"/>
      <c r="I9" s="53"/>
      <c r="J9" s="53"/>
      <c r="K9" s="53"/>
      <c r="L9" s="53"/>
      <c r="M9" s="53"/>
      <c r="N9" s="53"/>
      <c r="O9" s="53"/>
      <c r="P9" s="53"/>
      <c r="Q9" s="53"/>
      <c r="R9" s="53"/>
      <c r="S9" s="53"/>
    </row>
    <row r="10" spans="1:19" s="16" customFormat="1" ht="24.75" customHeight="1" thickBot="1">
      <c r="A10" s="54"/>
      <c r="B10" s="56">
        <v>2</v>
      </c>
      <c r="C10" s="69"/>
      <c r="D10" s="67"/>
      <c r="E10" s="68">
        <f>IF(NOT(OR(AND($H10&lt;&gt;"Y",$I10&gt;0),AND($J10="Y",$K10="Y"),AND($L10="Y",$L9="Y"),AND($N10="Y",$O10="Y"),OR($R10+$S10&gt;8,$R10+$S10&lt;0))),(IF(F10="y",$F$4,0))+(IF(P10="y",$P$4,0))+(IF(G10="y",$G$4,0))+(IF(H10="y",$H$4,0))+IF(AND(J10="Y",K10="Y"),0,((IF(J10="y",$J$4,0))+(IF(K10="y",$K$4,0))))+(IF(L10="y",$L$4,0))+(IF(M10="y",$M$4,0))+IF(AND(N10="Y",O10="Y"),0,(IF(N10="y",$N$4,0))+(IF(O10="y",$O$4,0)))+(IF(Q10="y",$Q$4,0))+IF((R10+S10&lt;=8),(IF((0&lt;R10)*(R10&lt;=8),R10*2,0))+(IF((0&lt;S10)*(S10&lt;=8),S10*5,0)),0)+IF((I10&lt;=3)*(I10&gt;=0),I10*15,0),"Error")</f>
        <v>0</v>
      </c>
      <c r="F10" s="53"/>
      <c r="G10" s="53"/>
      <c r="H10" s="53"/>
      <c r="I10" s="53"/>
      <c r="J10" s="53"/>
      <c r="K10" s="53"/>
      <c r="L10" s="53"/>
      <c r="M10" s="53"/>
      <c r="N10" s="53"/>
      <c r="O10" s="53"/>
      <c r="P10" s="53"/>
      <c r="Q10" s="53"/>
      <c r="R10" s="53"/>
      <c r="S10" s="53"/>
    </row>
    <row r="11" spans="1:19" s="16" customFormat="1" ht="17.25" customHeight="1" thickBot="1">
      <c r="A11" s="39" t="s">
        <v>36</v>
      </c>
      <c r="B11" s="60" t="s">
        <v>37</v>
      </c>
      <c r="C11" s="60" t="s">
        <v>38</v>
      </c>
      <c r="D11" s="61" t="s">
        <v>39</v>
      </c>
      <c r="E11" s="42">
        <f>IF(OR(J11&lt;&gt;"",N11&lt;&gt;"",R11&lt;&gt;"",L11&lt;&gt;"",H11&lt;&gt;""),"Error","")</f>
      </c>
      <c r="F11" s="62"/>
      <c r="G11" s="63"/>
      <c r="H11" s="310">
        <f>IF(OR(AND(I12&gt;0,H12&lt;&gt;"Y"),AND(I13&gt;0,H13&lt;&gt;"Y")),CONCATENATE("Mark ",CHAR(34),"Any Flag Up",CHAR(34)),"")</f>
      </c>
      <c r="I11" s="310"/>
      <c r="J11" s="310">
        <f>IF(OR((AND(J12="y",K12="y")),(AND(J13="y",K13="y"))),"Too Many Artifacts","")</f>
      </c>
      <c r="K11" s="310"/>
      <c r="L11" s="310">
        <f>IF(AND(L12="Y",L13="Y"),"Too Many Dolphins","")</f>
      </c>
      <c r="M11" s="310"/>
      <c r="N11" s="310">
        <f>IF(OR((AND(N12="y",O12="y")),(AND(N13="y",O13="y"))),"Only 1 Sub","")</f>
      </c>
      <c r="O11" s="310"/>
      <c r="P11" s="64"/>
      <c r="Q11" s="65"/>
      <c r="R11" s="310">
        <f>IF(OR(R12+S12&gt;8,R13+S13&gt;8),"Too Many Crates","")</f>
      </c>
      <c r="S11" s="310"/>
    </row>
    <row r="12" spans="1:19" s="16" customFormat="1" ht="24.75" customHeight="1" thickBot="1">
      <c r="A12" s="47">
        <f>A9+1</f>
        <v>2</v>
      </c>
      <c r="B12" s="48">
        <v>1</v>
      </c>
      <c r="C12" s="66"/>
      <c r="D12" s="67"/>
      <c r="E12" s="68">
        <f>IF(NOT(OR(AND($H12&lt;&gt;"Y",$I12&gt;0),AND($J12="Y",$K12="Y"),AND($L12="Y",$L13="Y"),AND($N12="Y",$O12="Y"),OR($R12+$S12&gt;8,$R12+$S12&lt;0))),(IF(F12="y",$F$4,0))+(IF(P12="y",$P$4,0))+(IF(G12="y",$G$4,0))+(IF(H12="y",$H$4,0))+IF(AND(J12="Y",K12="Y"),0,((IF(J12="y",$J$4,0))+(IF(K12="y",$K$4,0))))+(IF(L12="y",$L$4,0))+(IF(M12="y",$M$4,0))+IF(AND(N12="Y",O12="Y"),0,(IF(N12="y",$N$4,0))+(IF(O12="y",$O$4,0)))+(IF(Q12="y",$Q$4,0))+IF((R12+S12&lt;=8),(IF((0&lt;R12)*(R12&lt;=8),R12*2,0))+(IF((0&lt;S12)*(S12&lt;=8),S12*5,0)),0)+IF((I12&lt;=3)*(I12&gt;=0),I12*15,0),"Error")</f>
        <v>0</v>
      </c>
      <c r="F12" s="53"/>
      <c r="G12" s="53"/>
      <c r="H12" s="53"/>
      <c r="I12" s="53"/>
      <c r="J12" s="53"/>
      <c r="K12" s="53"/>
      <c r="L12" s="53"/>
      <c r="M12" s="53"/>
      <c r="N12" s="53"/>
      <c r="O12" s="53"/>
      <c r="P12" s="53"/>
      <c r="Q12" s="53"/>
      <c r="R12" s="53"/>
      <c r="S12" s="53"/>
    </row>
    <row r="13" spans="1:19" s="16" customFormat="1" ht="24.75" customHeight="1" thickBot="1">
      <c r="A13" s="54"/>
      <c r="B13" s="56">
        <v>2</v>
      </c>
      <c r="C13" s="69"/>
      <c r="D13" s="67"/>
      <c r="E13" s="68">
        <f>IF(NOT(OR(AND($H13&lt;&gt;"Y",$I13&gt;0),AND($J13="Y",$K13="Y"),AND($L13="Y",$L12="Y"),AND($N13="Y",$O13="Y"),OR($R13+$S13&gt;8,$R13+$S13&lt;0))),(IF(F13="y",$F$4,0))+(IF(P13="y",$P$4,0))+(IF(G13="y",$G$4,0))+(IF(H13="y",$H$4,0))+IF(AND(J13="Y",K13="Y"),0,((IF(J13="y",$J$4,0))+(IF(K13="y",$K$4,0))))+(IF(L13="y",$L$4,0))+(IF(M13="y",$M$4,0))+IF(AND(N13="Y",O13="Y"),0,(IF(N13="y",$N$4,0))+(IF(O13="y",$O$4,0)))+(IF(Q13="y",$Q$4,0))+IF((R13+S13&lt;=8),(IF((0&lt;R13)*(R13&lt;=8),R13*2,0))+(IF((0&lt;S13)*(S13&lt;=8),S13*5,0)),0)+IF((I13&lt;=3)*(I13&gt;=0),I13*15,0),"Error")</f>
        <v>0</v>
      </c>
      <c r="F13" s="53"/>
      <c r="G13" s="53"/>
      <c r="H13" s="53"/>
      <c r="I13" s="53"/>
      <c r="J13" s="53"/>
      <c r="K13" s="53"/>
      <c r="L13" s="53"/>
      <c r="M13" s="53"/>
      <c r="N13" s="53"/>
      <c r="O13" s="53"/>
      <c r="P13" s="53"/>
      <c r="Q13" s="53"/>
      <c r="R13" s="53"/>
      <c r="S13" s="53"/>
    </row>
    <row r="14" spans="1:19" s="16" customFormat="1" ht="17.25" customHeight="1" thickBot="1">
      <c r="A14" s="39" t="s">
        <v>36</v>
      </c>
      <c r="B14" s="60" t="s">
        <v>37</v>
      </c>
      <c r="C14" s="60" t="s">
        <v>38</v>
      </c>
      <c r="D14" s="61" t="s">
        <v>39</v>
      </c>
      <c r="E14" s="42">
        <f>IF(OR(J14&lt;&gt;"",N14&lt;&gt;"",R14&lt;&gt;"",L14&lt;&gt;"",H14&lt;&gt;""),"Error","")</f>
      </c>
      <c r="F14" s="62"/>
      <c r="G14" s="63"/>
      <c r="H14" s="310">
        <f>IF(OR(AND(I15&gt;0,H15&lt;&gt;"Y"),AND(I16&gt;0,H16&lt;&gt;"Y")),CONCATENATE("Mark ",CHAR(34),"Any Flag Up",CHAR(34)),"")</f>
      </c>
      <c r="I14" s="310"/>
      <c r="J14" s="310">
        <f>IF(OR((AND(J15="y",K15="y")),(AND(J16="y",K16="y"))),"Too Many Artifacts","")</f>
      </c>
      <c r="K14" s="310"/>
      <c r="L14" s="310">
        <f>IF(AND(L15="Y",L16="Y"),"Too Many Dolphins","")</f>
      </c>
      <c r="M14" s="310"/>
      <c r="N14" s="310">
        <f>IF(OR((AND(N15="y",O15="y")),(AND(N16="y",O16="y"))),"Only 1 Sub","")</f>
      </c>
      <c r="O14" s="310"/>
      <c r="P14" s="64"/>
      <c r="Q14" s="65"/>
      <c r="R14" s="310">
        <f>IF(OR(R15+S15&gt;8,R16+S16&gt;8),"Too Many Crates","")</f>
      </c>
      <c r="S14" s="310"/>
    </row>
    <row r="15" spans="1:19" s="16" customFormat="1" ht="24.75" customHeight="1" thickBot="1">
      <c r="A15" s="47">
        <f>A12+1</f>
        <v>3</v>
      </c>
      <c r="B15" s="48">
        <v>1</v>
      </c>
      <c r="C15" s="66"/>
      <c r="D15" s="67"/>
      <c r="E15" s="68">
        <f>IF(NOT(OR(AND($H15&lt;&gt;"Y",$I15&gt;0),AND($J15="Y",$K15="Y"),AND($L15="Y",$L16="Y"),AND($N15="Y",$O15="Y"),OR($R15+$S15&gt;8,$R15+$S15&lt;0))),(IF(F15="y",$F$4,0))+(IF(P15="y",$P$4,0))+(IF(G15="y",$G$4,0))+(IF(H15="y",$H$4,0))+IF(AND(J15="Y",K15="Y"),0,((IF(J15="y",$J$4,0))+(IF(K15="y",$K$4,0))))+(IF(L15="y",$L$4,0))+(IF(M15="y",$M$4,0))+IF(AND(N15="Y",O15="Y"),0,(IF(N15="y",$N$4,0))+(IF(O15="y",$O$4,0)))+(IF(Q15="y",$Q$4,0))+IF((R15+S15&lt;=8),(IF((0&lt;R15)*(R15&lt;=8),R15*2,0))+(IF((0&lt;S15)*(S15&lt;=8),S15*5,0)),0)+IF((I15&lt;=3)*(I15&gt;=0),I15*15,0),"Error")</f>
        <v>0</v>
      </c>
      <c r="F15" s="53"/>
      <c r="G15" s="53"/>
      <c r="H15" s="53"/>
      <c r="I15" s="53"/>
      <c r="J15" s="53"/>
      <c r="K15" s="53"/>
      <c r="L15" s="53"/>
      <c r="M15" s="53"/>
      <c r="N15" s="53"/>
      <c r="O15" s="53"/>
      <c r="P15" s="53"/>
      <c r="Q15" s="53"/>
      <c r="R15" s="53"/>
      <c r="S15" s="53"/>
    </row>
    <row r="16" spans="1:19" s="16" customFormat="1" ht="24.75" customHeight="1" thickBot="1">
      <c r="A16" s="54"/>
      <c r="B16" s="56">
        <v>2</v>
      </c>
      <c r="C16" s="69"/>
      <c r="D16" s="67"/>
      <c r="E16" s="68">
        <f>IF(NOT(OR(AND($H16&lt;&gt;"Y",$I16&gt;0),AND($J16="Y",$K16="Y"),AND($L16="Y",$L15="Y"),AND($N16="Y",$O16="Y"),OR($R16+$S16&gt;8,$R16+$S16&lt;0))),(IF(F16="y",$F$4,0))+(IF(P16="y",$P$4,0))+(IF(G16="y",$G$4,0))+(IF(H16="y",$H$4,0))+IF(AND(J16="Y",K16="Y"),0,((IF(J16="y",$J$4,0))+(IF(K16="y",$K$4,0))))+(IF(L16="y",$L$4,0))+(IF(M16="y",$M$4,0))+IF(AND(N16="Y",O16="Y"),0,(IF(N16="y",$N$4,0))+(IF(O16="y",$O$4,0)))+(IF(Q16="y",$Q$4,0))+IF((R16+S16&lt;=8),(IF((0&lt;R16)*(R16&lt;=8),R16*2,0))+(IF((0&lt;S16)*(S16&lt;=8),S16*5,0)),0)+IF((I16&lt;=3)*(I16&gt;=0),I16*15,0),"Error")</f>
        <v>0</v>
      </c>
      <c r="F16" s="53"/>
      <c r="G16" s="53"/>
      <c r="H16" s="53"/>
      <c r="I16" s="53"/>
      <c r="J16" s="53"/>
      <c r="K16" s="53"/>
      <c r="L16" s="53"/>
      <c r="M16" s="53"/>
      <c r="N16" s="53"/>
      <c r="O16" s="53"/>
      <c r="P16" s="53"/>
      <c r="Q16" s="53"/>
      <c r="R16" s="53"/>
      <c r="S16" s="53"/>
    </row>
    <row r="17" spans="1:19" s="16" customFormat="1" ht="17.25" customHeight="1" thickBot="1">
      <c r="A17" s="39" t="s">
        <v>36</v>
      </c>
      <c r="B17" s="60" t="s">
        <v>37</v>
      </c>
      <c r="C17" s="60" t="s">
        <v>38</v>
      </c>
      <c r="D17" s="61" t="s">
        <v>39</v>
      </c>
      <c r="E17" s="42">
        <f>IF(OR(J17&lt;&gt;"",N17&lt;&gt;"",R17&lt;&gt;"",L17&lt;&gt;"",H17&lt;&gt;""),"Error","")</f>
      </c>
      <c r="F17" s="62"/>
      <c r="G17" s="63"/>
      <c r="H17" s="310">
        <f>IF(OR(AND(I18&gt;0,H18&lt;&gt;"Y"),AND(I19&gt;0,H19&lt;&gt;"Y")),CONCATENATE("Mark ",CHAR(34),"Any Flag Up",CHAR(34)),"")</f>
      </c>
      <c r="I17" s="310"/>
      <c r="J17" s="310">
        <f>IF(OR((AND(J18="y",K18="y")),(AND(J19="y",K19="y"))),"Too Many Artifacts","")</f>
      </c>
      <c r="K17" s="310"/>
      <c r="L17" s="310">
        <f>IF(AND(L18="Y",L19="Y"),"Too Many Dolphins","")</f>
      </c>
      <c r="M17" s="310"/>
      <c r="N17" s="310">
        <f>IF(OR((AND(N18="y",O18="y")),(AND(N19="y",O19="y"))),"Only 1 Sub","")</f>
      </c>
      <c r="O17" s="310"/>
      <c r="P17" s="64"/>
      <c r="Q17" s="65"/>
      <c r="R17" s="310">
        <f>IF(OR(R18+S18&gt;8,R19+S19&gt;8),"Too Many Crates","")</f>
      </c>
      <c r="S17" s="310"/>
    </row>
    <row r="18" spans="1:19" s="16" customFormat="1" ht="24.75" customHeight="1" thickBot="1">
      <c r="A18" s="47">
        <f>A15+1</f>
        <v>4</v>
      </c>
      <c r="B18" s="48">
        <v>1</v>
      </c>
      <c r="C18" s="66"/>
      <c r="D18" s="67"/>
      <c r="E18" s="68">
        <f>IF(NOT(OR(AND($H18&lt;&gt;"Y",$I18&gt;0),AND($J18="Y",$K18="Y"),AND($L18="Y",$L19="Y"),AND($N18="Y",$O18="Y"),OR($R18+$S18&gt;8,$R18+$S18&lt;0))),(IF(F18="y",$F$4,0))+(IF(P18="y",$P$4,0))+(IF(G18="y",$G$4,0))+(IF(H18="y",$H$4,0))+IF(AND(J18="Y",K18="Y"),0,((IF(J18="y",$J$4,0))+(IF(K18="y",$K$4,0))))+(IF(L18="y",$L$4,0))+(IF(M18="y",$M$4,0))+IF(AND(N18="Y",O18="Y"),0,(IF(N18="y",$N$4,0))+(IF(O18="y",$O$4,0)))+(IF(Q18="y",$Q$4,0))+IF((R18+S18&lt;=8),(IF((0&lt;R18)*(R18&lt;=8),R18*2,0))+(IF((0&lt;S18)*(S18&lt;=8),S18*5,0)),0)+IF((I18&lt;=3)*(I18&gt;=0),I18*15,0),"Error")</f>
        <v>0</v>
      </c>
      <c r="F18" s="53"/>
      <c r="G18" s="53"/>
      <c r="H18" s="53"/>
      <c r="I18" s="53"/>
      <c r="J18" s="53"/>
      <c r="K18" s="53"/>
      <c r="L18" s="53"/>
      <c r="M18" s="53"/>
      <c r="N18" s="53"/>
      <c r="O18" s="53"/>
      <c r="P18" s="53"/>
      <c r="Q18" s="53"/>
      <c r="R18" s="53"/>
      <c r="S18" s="53"/>
    </row>
    <row r="19" spans="1:19" s="16" customFormat="1" ht="24.75" customHeight="1" thickBot="1">
      <c r="A19" s="54"/>
      <c r="B19" s="56">
        <v>2</v>
      </c>
      <c r="C19" s="69"/>
      <c r="D19" s="67"/>
      <c r="E19" s="68">
        <f>IF(NOT(OR(AND($H19&lt;&gt;"Y",$I19&gt;0),AND($J19="Y",$K19="Y"),AND($L19="Y",$L18="Y"),AND($N19="Y",$O19="Y"),OR($R19+$S19&gt;8,$R19+$S19&lt;0))),(IF(F19="y",$F$4,0))+(IF(P19="y",$P$4,0))+(IF(G19="y",$G$4,0))+(IF(H19="y",$H$4,0))+IF(AND(J19="Y",K19="Y"),0,((IF(J19="y",$J$4,0))+(IF(K19="y",$K$4,0))))+(IF(L19="y",$L$4,0))+(IF(M19="y",$M$4,0))+IF(AND(N19="Y",O19="Y"),0,(IF(N19="y",$N$4,0))+(IF(O19="y",$O$4,0)))+(IF(Q19="y",$Q$4,0))+IF((R19+S19&lt;=8),(IF((0&lt;R19)*(R19&lt;=8),R19*2,0))+(IF((0&lt;S19)*(S19&lt;=8),S19*5,0)),0)+IF((I19&lt;=3)*(I19&gt;=0),I19*15,0),"Error")</f>
        <v>0</v>
      </c>
      <c r="F19" s="53"/>
      <c r="G19" s="53"/>
      <c r="H19" s="53"/>
      <c r="I19" s="53"/>
      <c r="J19" s="53"/>
      <c r="K19" s="53"/>
      <c r="L19" s="53"/>
      <c r="M19" s="53"/>
      <c r="N19" s="53"/>
      <c r="O19" s="53"/>
      <c r="P19" s="53"/>
      <c r="Q19" s="53"/>
      <c r="R19" s="53"/>
      <c r="S19" s="53"/>
    </row>
    <row r="20" spans="1:19" s="16" customFormat="1" ht="17.25" customHeight="1" thickBot="1">
      <c r="A20" s="39" t="s">
        <v>36</v>
      </c>
      <c r="B20" s="60" t="s">
        <v>37</v>
      </c>
      <c r="C20" s="60" t="s">
        <v>38</v>
      </c>
      <c r="D20" s="61" t="s">
        <v>39</v>
      </c>
      <c r="E20" s="42">
        <f>IF(OR(J20&lt;&gt;"",N20&lt;&gt;"",R20&lt;&gt;"",L20&lt;&gt;"",H20&lt;&gt;""),"Error","")</f>
      </c>
      <c r="F20" s="62"/>
      <c r="G20" s="63"/>
      <c r="H20" s="310">
        <f>IF(OR(AND(I21&gt;0,H21&lt;&gt;"Y"),AND(I22&gt;0,H22&lt;&gt;"Y")),CONCATENATE("Mark ",CHAR(34),"Any Flag Up",CHAR(34)),"")</f>
      </c>
      <c r="I20" s="310"/>
      <c r="J20" s="310">
        <f>IF(OR((AND(J21="y",K21="y")),(AND(J22="y",K22="y"))),"Too Many Artifacts","")</f>
      </c>
      <c r="K20" s="310"/>
      <c r="L20" s="310">
        <f>IF(AND(L21="Y",L22="Y"),"Too Many Dolphins","")</f>
      </c>
      <c r="M20" s="310"/>
      <c r="N20" s="310">
        <f>IF(OR((AND(N21="y",O21="y")),(AND(N22="y",O22="y"))),"Only 1 Sub","")</f>
      </c>
      <c r="O20" s="310"/>
      <c r="P20" s="64"/>
      <c r="Q20" s="65"/>
      <c r="R20" s="310">
        <f>IF(OR(R21+S21&gt;8,R22+S22&gt;8),"Too Many Crates","")</f>
      </c>
      <c r="S20" s="310"/>
    </row>
    <row r="21" spans="1:19" s="16" customFormat="1" ht="24.75" customHeight="1" thickBot="1">
      <c r="A21" s="47">
        <f>A18+1</f>
        <v>5</v>
      </c>
      <c r="B21" s="48">
        <v>1</v>
      </c>
      <c r="C21" s="66"/>
      <c r="D21" s="67"/>
      <c r="E21" s="68">
        <f>IF(NOT(OR(AND($H21&lt;&gt;"Y",$I21&gt;0),AND($J21="Y",$K21="Y"),AND($L21="Y",$L22="Y"),AND($N21="Y",$O21="Y"),OR($R21+$S21&gt;8,$R21+$S21&lt;0))),(IF(F21="y",$F$4,0))+(IF(P21="y",$P$4,0))+(IF(G21="y",$G$4,0))+(IF(H21="y",$H$4,0))+IF(AND(J21="Y",K21="Y"),0,((IF(J21="y",$J$4,0))+(IF(K21="y",$K$4,0))))+(IF(L21="y",$L$4,0))+(IF(M21="y",$M$4,0))+IF(AND(N21="Y",O21="Y"),0,(IF(N21="y",$N$4,0))+(IF(O21="y",$O$4,0)))+(IF(Q21="y",$Q$4,0))+IF((R21+S21&lt;=8),(IF((0&lt;R21)*(R21&lt;=8),R21*2,0))+(IF((0&lt;S21)*(S21&lt;=8),S21*5,0)),0)+IF((I21&lt;=3)*(I21&gt;=0),I21*15,0),"Error")</f>
        <v>0</v>
      </c>
      <c r="F21" s="53"/>
      <c r="G21" s="53"/>
      <c r="H21" s="53"/>
      <c r="I21" s="53"/>
      <c r="J21" s="53"/>
      <c r="K21" s="53"/>
      <c r="L21" s="53"/>
      <c r="M21" s="53"/>
      <c r="N21" s="53"/>
      <c r="O21" s="53"/>
      <c r="P21" s="53"/>
      <c r="Q21" s="53"/>
      <c r="R21" s="53"/>
      <c r="S21" s="53"/>
    </row>
    <row r="22" spans="1:19" s="16" customFormat="1" ht="24.75" customHeight="1" thickBot="1">
      <c r="A22" s="54"/>
      <c r="B22" s="56">
        <v>2</v>
      </c>
      <c r="C22" s="69"/>
      <c r="D22" s="67"/>
      <c r="E22" s="68">
        <f>IF(NOT(OR(AND($H22&lt;&gt;"Y",$I22&gt;0),AND($J22="Y",$K22="Y"),AND($L22="Y",$L21="Y"),AND($N22="Y",$O22="Y"),OR($R22+$S22&gt;8,$R22+$S22&lt;0))),(IF(F22="y",$F$4,0))+(IF(P22="y",$P$4,0))+(IF(G22="y",$G$4,0))+(IF(H22="y",$H$4,0))+IF(AND(J22="Y",K22="Y"),0,((IF(J22="y",$J$4,0))+(IF(K22="y",$K$4,0))))+(IF(L22="y",$L$4,0))+(IF(M22="y",$M$4,0))+IF(AND(N22="Y",O22="Y"),0,(IF(N22="y",$N$4,0))+(IF(O22="y",$O$4,0)))+(IF(Q22="y",$Q$4,0))+IF((R22+S22&lt;=8),(IF((0&lt;R22)*(R22&lt;=8),R22*2,0))+(IF((0&lt;S22)*(S22&lt;=8),S22*5,0)),0)+IF((I22&lt;=3)*(I22&gt;=0),I22*15,0),"Error")</f>
        <v>0</v>
      </c>
      <c r="F22" s="53"/>
      <c r="G22" s="53"/>
      <c r="H22" s="53"/>
      <c r="I22" s="53"/>
      <c r="J22" s="53"/>
      <c r="K22" s="53"/>
      <c r="L22" s="53"/>
      <c r="M22" s="53"/>
      <c r="N22" s="53"/>
      <c r="O22" s="53"/>
      <c r="P22" s="53"/>
      <c r="Q22" s="53"/>
      <c r="R22" s="53"/>
      <c r="S22" s="53"/>
    </row>
    <row r="23" spans="1:19" s="16" customFormat="1" ht="17.25" customHeight="1" thickBot="1">
      <c r="A23" s="39" t="s">
        <v>36</v>
      </c>
      <c r="B23" s="60" t="s">
        <v>37</v>
      </c>
      <c r="C23" s="60" t="s">
        <v>38</v>
      </c>
      <c r="D23" s="61" t="s">
        <v>39</v>
      </c>
      <c r="E23" s="42">
        <f>IF(OR(J23&lt;&gt;"",N23&lt;&gt;"",R23&lt;&gt;"",L23&lt;&gt;"",H23&lt;&gt;""),"Error","")</f>
      </c>
      <c r="F23" s="62"/>
      <c r="G23" s="63"/>
      <c r="H23" s="310">
        <f>IF(OR(AND(I24&gt;0,H24&lt;&gt;"Y"),AND(I25&gt;0,H25&lt;&gt;"Y")),CONCATENATE("Mark ",CHAR(34),"Any Flag Up",CHAR(34)),"")</f>
      </c>
      <c r="I23" s="310"/>
      <c r="J23" s="310">
        <f>IF(OR((AND(J24="y",K24="y")),(AND(J25="y",K25="y"))),"Too Many Artifacts","")</f>
      </c>
      <c r="K23" s="310"/>
      <c r="L23" s="310">
        <f>IF(AND(L24="Y",L25="Y"),"Too Many Dolphins","")</f>
      </c>
      <c r="M23" s="310"/>
      <c r="N23" s="310">
        <f>IF(OR((AND(N24="y",O24="y")),(AND(N25="y",O25="y"))),"Only 1 Sub","")</f>
      </c>
      <c r="O23" s="310"/>
      <c r="P23" s="64"/>
      <c r="Q23" s="65"/>
      <c r="R23" s="310">
        <f>IF(OR(R24+S24&gt;8,R25+S25&gt;8),"Too Many Crates","")</f>
      </c>
      <c r="S23" s="310"/>
    </row>
    <row r="24" spans="1:19" s="16" customFormat="1" ht="24.75" customHeight="1" thickBot="1">
      <c r="A24" s="47">
        <f>A21+1</f>
        <v>6</v>
      </c>
      <c r="B24" s="48">
        <v>1</v>
      </c>
      <c r="C24" s="66"/>
      <c r="D24" s="67"/>
      <c r="E24" s="68">
        <f>IF(NOT(OR(AND($H24&lt;&gt;"Y",$I24&gt;0),AND($J24="Y",$K24="Y"),AND($L24="Y",$L25="Y"),AND($N24="Y",$O24="Y"),OR($R24+$S24&gt;8,$R24+$S24&lt;0))),(IF(F24="y",$F$4,0))+(IF(P24="y",$P$4,0))+(IF(G24="y",$G$4,0))+(IF(H24="y",$H$4,0))+IF(AND(J24="Y",K24="Y"),0,((IF(J24="y",$J$4,0))+(IF(K24="y",$K$4,0))))+(IF(L24="y",$L$4,0))+(IF(M24="y",$M$4,0))+IF(AND(N24="Y",O24="Y"),0,(IF(N24="y",$N$4,0))+(IF(O24="y",$O$4,0)))+(IF(Q24="y",$Q$4,0))+IF((R24+S24&lt;=8),(IF((0&lt;R24)*(R24&lt;=8),R24*2,0))+(IF((0&lt;S24)*(S24&lt;=8),S24*5,0)),0)+IF((I24&lt;=3)*(I24&gt;=0),I24*15,0),"Error")</f>
        <v>0</v>
      </c>
      <c r="F24" s="53"/>
      <c r="G24" s="53"/>
      <c r="H24" s="53"/>
      <c r="I24" s="53"/>
      <c r="J24" s="53"/>
      <c r="K24" s="53"/>
      <c r="L24" s="53"/>
      <c r="M24" s="53"/>
      <c r="N24" s="53"/>
      <c r="O24" s="53"/>
      <c r="P24" s="53"/>
      <c r="Q24" s="53"/>
      <c r="R24" s="53"/>
      <c r="S24" s="53"/>
    </row>
    <row r="25" spans="1:19" s="16" customFormat="1" ht="24.75" customHeight="1" thickBot="1">
      <c r="A25" s="54"/>
      <c r="B25" s="56">
        <v>2</v>
      </c>
      <c r="C25" s="69"/>
      <c r="D25" s="67"/>
      <c r="E25" s="68">
        <f>IF(NOT(OR(AND($H25&lt;&gt;"Y",$I25&gt;0),AND($J25="Y",$K25="Y"),AND($L25="Y",$L24="Y"),AND($N25="Y",$O25="Y"),OR($R25+$S25&gt;8,$R25+$S25&lt;0))),(IF(F25="y",$F$4,0))+(IF(P25="y",$P$4,0))+(IF(G25="y",$G$4,0))+(IF(H25="y",$H$4,0))+IF(AND(J25="Y",K25="Y"),0,((IF(J25="y",$J$4,0))+(IF(K25="y",$K$4,0))))+(IF(L25="y",$L$4,0))+(IF(M25="y",$M$4,0))+IF(AND(N25="Y",O25="Y"),0,(IF(N25="y",$N$4,0))+(IF(O25="y",$O$4,0)))+(IF(Q25="y",$Q$4,0))+IF((R25+S25&lt;=8),(IF((0&lt;R25)*(R25&lt;=8),R25*2,0))+(IF((0&lt;S25)*(S25&lt;=8),S25*5,0)),0)+IF((I25&lt;=3)*(I25&gt;=0),I25*15,0),"Error")</f>
        <v>0</v>
      </c>
      <c r="F25" s="53"/>
      <c r="G25" s="53"/>
      <c r="H25" s="53"/>
      <c r="I25" s="53"/>
      <c r="J25" s="53"/>
      <c r="K25" s="53"/>
      <c r="L25" s="53"/>
      <c r="M25" s="53"/>
      <c r="N25" s="53"/>
      <c r="O25" s="53"/>
      <c r="P25" s="53"/>
      <c r="Q25" s="53"/>
      <c r="R25" s="53"/>
      <c r="S25" s="53"/>
    </row>
    <row r="26" spans="1:19" s="16" customFormat="1" ht="17.25" customHeight="1" thickBot="1">
      <c r="A26" s="39" t="s">
        <v>36</v>
      </c>
      <c r="B26" s="60" t="s">
        <v>37</v>
      </c>
      <c r="C26" s="60" t="s">
        <v>38</v>
      </c>
      <c r="D26" s="61" t="s">
        <v>39</v>
      </c>
      <c r="E26" s="42">
        <f>IF(OR(J26&lt;&gt;"",N26&lt;&gt;"",R26&lt;&gt;"",L26&lt;&gt;"",H26&lt;&gt;""),"Error","")</f>
      </c>
      <c r="F26" s="62"/>
      <c r="G26" s="63"/>
      <c r="H26" s="310">
        <f>IF(OR(AND(I27&gt;0,H27&lt;&gt;"Y"),AND(I28&gt;0,H28&lt;&gt;"Y")),CONCATENATE("Mark ",CHAR(34),"Any Flag Up",CHAR(34)),"")</f>
      </c>
      <c r="I26" s="310"/>
      <c r="J26" s="310">
        <f>IF(OR((AND(J27="y",K27="y")),(AND(J28="y",K28="y"))),"Too Many Artifacts","")</f>
      </c>
      <c r="K26" s="310"/>
      <c r="L26" s="310">
        <f>IF(AND(L27="Y",L28="Y"),"Too Many Dolphins","")</f>
      </c>
      <c r="M26" s="310"/>
      <c r="N26" s="310">
        <f>IF(OR((AND(N27="y",O27="y")),(AND(N28="y",O28="y"))),"Only 1 Sub","")</f>
      </c>
      <c r="O26" s="310"/>
      <c r="P26" s="64"/>
      <c r="Q26" s="65"/>
      <c r="R26" s="310">
        <f>IF(OR(R27+S27&gt;8,R28+S28&gt;8),"Too Many Crates","")</f>
      </c>
      <c r="S26" s="310"/>
    </row>
    <row r="27" spans="1:19" s="16" customFormat="1" ht="24.75" customHeight="1" thickBot="1">
      <c r="A27" s="47">
        <f>A24+1</f>
        <v>7</v>
      </c>
      <c r="B27" s="48">
        <v>1</v>
      </c>
      <c r="C27" s="66"/>
      <c r="D27" s="67"/>
      <c r="E27" s="68">
        <f>IF(NOT(OR(AND($H27&lt;&gt;"Y",$I27&gt;0),AND($J27="Y",$K27="Y"),AND($L27="Y",$L28="Y"),AND($N27="Y",$O27="Y"),OR($R27+$S27&gt;8,$R27+$S27&lt;0))),(IF(F27="y",$F$4,0))+(IF(P27="y",$P$4,0))+(IF(G27="y",$G$4,0))+(IF(H27="y",$H$4,0))+IF(AND(J27="Y",K27="Y"),0,((IF(J27="y",$J$4,0))+(IF(K27="y",$K$4,0))))+(IF(L27="y",$L$4,0))+(IF(M27="y",$M$4,0))+IF(AND(N27="Y",O27="Y"),0,(IF(N27="y",$N$4,0))+(IF(O27="y",$O$4,0)))+(IF(Q27="y",$Q$4,0))+IF((R27+S27&lt;=8),(IF((0&lt;R27)*(R27&lt;=8),R27*2,0))+(IF((0&lt;S27)*(S27&lt;=8),S27*5,0)),0)+IF((I27&lt;=3)*(I27&gt;=0),I27*15,0),"Error")</f>
        <v>0</v>
      </c>
      <c r="F27" s="53"/>
      <c r="G27" s="53"/>
      <c r="H27" s="53"/>
      <c r="I27" s="53"/>
      <c r="J27" s="53"/>
      <c r="K27" s="53"/>
      <c r="L27" s="53"/>
      <c r="M27" s="53"/>
      <c r="N27" s="53"/>
      <c r="O27" s="53"/>
      <c r="P27" s="53"/>
      <c r="Q27" s="53"/>
      <c r="R27" s="53"/>
      <c r="S27" s="53"/>
    </row>
    <row r="28" spans="1:19" s="16" customFormat="1" ht="24.75" customHeight="1" thickBot="1">
      <c r="A28" s="54"/>
      <c r="B28" s="56">
        <v>2</v>
      </c>
      <c r="C28" s="69"/>
      <c r="D28" s="67"/>
      <c r="E28" s="68">
        <f>IF(NOT(OR(AND($H28&lt;&gt;"Y",$I28&gt;0),AND($J28="Y",$K28="Y"),AND($L28="Y",$L27="Y"),AND($N28="Y",$O28="Y"),OR($R28+$S28&gt;8,$R28+$S28&lt;0))),(IF(F28="y",$F$4,0))+(IF(P28="y",$P$4,0))+(IF(G28="y",$G$4,0))+(IF(H28="y",$H$4,0))+IF(AND(J28="Y",K28="Y"),0,((IF(J28="y",$J$4,0))+(IF(K28="y",$K$4,0))))+(IF(L28="y",$L$4,0))+(IF(M28="y",$M$4,0))+IF(AND(N28="Y",O28="Y"),0,(IF(N28="y",$N$4,0))+(IF(O28="y",$O$4,0)))+(IF(Q28="y",$Q$4,0))+IF((R28+S28&lt;=8),(IF((0&lt;R28)*(R28&lt;=8),R28*2,0))+(IF((0&lt;S28)*(S28&lt;=8),S28*5,0)),0)+IF((I28&lt;=3)*(I28&gt;=0),I28*15,0),"Error")</f>
        <v>0</v>
      </c>
      <c r="F28" s="53"/>
      <c r="G28" s="53"/>
      <c r="H28" s="53"/>
      <c r="I28" s="53"/>
      <c r="J28" s="53"/>
      <c r="K28" s="53"/>
      <c r="L28" s="53"/>
      <c r="M28" s="53"/>
      <c r="N28" s="53"/>
      <c r="O28" s="53"/>
      <c r="P28" s="53"/>
      <c r="Q28" s="53"/>
      <c r="R28" s="53"/>
      <c r="S28" s="53"/>
    </row>
    <row r="29" spans="1:19" s="16" customFormat="1" ht="17.25" customHeight="1" thickBot="1">
      <c r="A29" s="39" t="s">
        <v>36</v>
      </c>
      <c r="B29" s="60" t="s">
        <v>37</v>
      </c>
      <c r="C29" s="60" t="s">
        <v>38</v>
      </c>
      <c r="D29" s="61" t="s">
        <v>39</v>
      </c>
      <c r="E29" s="42">
        <f>IF(OR(J29&lt;&gt;"",N29&lt;&gt;"",R29&lt;&gt;"",L29&lt;&gt;"",H29&lt;&gt;""),"Error","")</f>
      </c>
      <c r="F29" s="62"/>
      <c r="G29" s="63"/>
      <c r="H29" s="310">
        <f>IF(OR(AND(I30&gt;0,H30&lt;&gt;"Y"),AND(I31&gt;0,H31&lt;&gt;"Y")),CONCATENATE("Mark ",CHAR(34),"Any Flag Up",CHAR(34)),"")</f>
      </c>
      <c r="I29" s="310"/>
      <c r="J29" s="310">
        <f>IF(OR((AND(J30="y",K30="y")),(AND(J31="y",K31="y"))),"Too Many Artifacts","")</f>
      </c>
      <c r="K29" s="310"/>
      <c r="L29" s="310">
        <f>IF(AND(L30="Y",L31="Y"),"Too Many Dolphins","")</f>
      </c>
      <c r="M29" s="310"/>
      <c r="N29" s="310">
        <f>IF(OR((AND(N30="y",O30="y")),(AND(N31="y",O31="y"))),"Only 1 Sub","")</f>
      </c>
      <c r="O29" s="310"/>
      <c r="P29" s="64"/>
      <c r="Q29" s="65"/>
      <c r="R29" s="310">
        <f>IF(OR(R30+S30&gt;8,R31+S31&gt;8),"Too Many Crates","")</f>
      </c>
      <c r="S29" s="310"/>
    </row>
    <row r="30" spans="1:19" s="16" customFormat="1" ht="24.75" customHeight="1" thickBot="1">
      <c r="A30" s="47">
        <f>A27+1</f>
        <v>8</v>
      </c>
      <c r="B30" s="48">
        <v>1</v>
      </c>
      <c r="C30" s="66"/>
      <c r="D30" s="67"/>
      <c r="E30" s="68">
        <f>IF(NOT(OR(AND($H30&lt;&gt;"Y",$I30&gt;0),AND($J30="Y",$K30="Y"),AND($L30="Y",$L31="Y"),AND($N30="Y",$O30="Y"),OR($R30+$S30&gt;8,$R30+$S30&lt;0))),(IF(F30="y",$F$4,0))+(IF(P30="y",$P$4,0))+(IF(G30="y",$G$4,0))+(IF(H30="y",$H$4,0))+IF(AND(J30="Y",K30="Y"),0,((IF(J30="y",$J$4,0))+(IF(K30="y",$K$4,0))))+(IF(L30="y",$L$4,0))+(IF(M30="y",$M$4,0))+IF(AND(N30="Y",O30="Y"),0,(IF(N30="y",$N$4,0))+(IF(O30="y",$O$4,0)))+(IF(Q30="y",$Q$4,0))+IF((R30+S30&lt;=8),(IF((0&lt;R30)*(R30&lt;=8),R30*2,0))+(IF((0&lt;S30)*(S30&lt;=8),S30*5,0)),0)+IF((I30&lt;=3)*(I30&gt;=0),I30*15,0),"Error")</f>
        <v>0</v>
      </c>
      <c r="F30" s="53"/>
      <c r="G30" s="53"/>
      <c r="H30" s="53"/>
      <c r="I30" s="53"/>
      <c r="J30" s="53"/>
      <c r="K30" s="53"/>
      <c r="L30" s="53"/>
      <c r="M30" s="53"/>
      <c r="N30" s="53"/>
      <c r="O30" s="53"/>
      <c r="P30" s="53"/>
      <c r="Q30" s="53"/>
      <c r="R30" s="53"/>
      <c r="S30" s="53"/>
    </row>
    <row r="31" spans="1:19" s="16" customFormat="1" ht="24.75" customHeight="1" thickBot="1">
      <c r="A31" s="54"/>
      <c r="B31" s="56">
        <v>2</v>
      </c>
      <c r="C31" s="69"/>
      <c r="D31" s="67"/>
      <c r="E31" s="68">
        <f>IF(NOT(OR(AND($H31&lt;&gt;"Y",$I31&gt;0),AND($J31="Y",$K31="Y"),AND($L31="Y",$L30="Y"),AND($N31="Y",$O31="Y"),OR($R31+$S31&gt;8,$R31+$S31&lt;0))),(IF(F31="y",$F$4,0))+(IF(P31="y",$P$4,0))+(IF(G31="y",$G$4,0))+(IF(H31="y",$H$4,0))+IF(AND(J31="Y",K31="Y"),0,((IF(J31="y",$J$4,0))+(IF(K31="y",$K$4,0))))+(IF(L31="y",$L$4,0))+(IF(M31="y",$M$4,0))+IF(AND(N31="Y",O31="Y"),0,(IF(N31="y",$N$4,0))+(IF(O31="y",$O$4,0)))+(IF(Q31="y",$Q$4,0))+IF((R31+S31&lt;=8),(IF((0&lt;R31)*(R31&lt;=8),R31*2,0))+(IF((0&lt;S31)*(S31&lt;=8),S31*5,0)),0)+IF((I31&lt;=3)*(I31&gt;=0),I31*15,0),"Error")</f>
        <v>0</v>
      </c>
      <c r="F31" s="53"/>
      <c r="G31" s="53"/>
      <c r="H31" s="53"/>
      <c r="I31" s="53"/>
      <c r="J31" s="53"/>
      <c r="K31" s="53"/>
      <c r="L31" s="53"/>
      <c r="M31" s="53"/>
      <c r="N31" s="53"/>
      <c r="O31" s="53"/>
      <c r="P31" s="53"/>
      <c r="Q31" s="53"/>
      <c r="R31" s="53"/>
      <c r="S31" s="53"/>
    </row>
    <row r="32" spans="1:19" s="16" customFormat="1" ht="17.25" customHeight="1" thickBot="1">
      <c r="A32" s="39" t="s">
        <v>36</v>
      </c>
      <c r="B32" s="60" t="s">
        <v>37</v>
      </c>
      <c r="C32" s="60" t="s">
        <v>38</v>
      </c>
      <c r="D32" s="61" t="s">
        <v>39</v>
      </c>
      <c r="E32" s="42">
        <f>IF(OR(J32&lt;&gt;"",N32&lt;&gt;"",R32&lt;&gt;"",L32&lt;&gt;"",H32&lt;&gt;""),"Error","")</f>
      </c>
      <c r="F32" s="62"/>
      <c r="G32" s="63"/>
      <c r="H32" s="310">
        <f>IF(OR(AND(I33&gt;0,H33&lt;&gt;"Y"),AND(I34&gt;0,H34&lt;&gt;"Y")),CONCATENATE("Mark ",CHAR(34),"Any Flag Up",CHAR(34)),"")</f>
      </c>
      <c r="I32" s="310"/>
      <c r="J32" s="310">
        <f>IF(OR((AND(J33="y",K33="y")),(AND(J34="y",K34="y"))),"Too Many Artifacts","")</f>
      </c>
      <c r="K32" s="310"/>
      <c r="L32" s="310">
        <f>IF(AND(L33="Y",L34="Y"),"Too Many Dolphins","")</f>
      </c>
      <c r="M32" s="310"/>
      <c r="N32" s="310">
        <f>IF(OR((AND(N33="y",O33="y")),(AND(N34="y",O34="y"))),"Only 1 Sub","")</f>
      </c>
      <c r="O32" s="310"/>
      <c r="P32" s="64"/>
      <c r="Q32" s="65"/>
      <c r="R32" s="310">
        <f>IF(OR(R33+S33&gt;8,R34+S34&gt;8),"Too Many Crates","")</f>
      </c>
      <c r="S32" s="310"/>
    </row>
    <row r="33" spans="1:19" s="16" customFormat="1" ht="24.75" customHeight="1" thickBot="1">
      <c r="A33" s="47">
        <f>A30+1</f>
        <v>9</v>
      </c>
      <c r="B33" s="48">
        <v>1</v>
      </c>
      <c r="C33" s="66"/>
      <c r="D33" s="67"/>
      <c r="E33" s="68">
        <f>IF(NOT(OR(AND($H33&lt;&gt;"Y",$I33&gt;0),AND($J33="Y",$K33="Y"),AND($L33="Y",$L34="Y"),AND($N33="Y",$O33="Y"),OR($R33+$S33&gt;8,$R33+$S33&lt;0))),(IF(F33="y",$F$4,0))+(IF(P33="y",$P$4,0))+(IF(G33="y",$G$4,0))+(IF(H33="y",$H$4,0))+IF(AND(J33="Y",K33="Y"),0,((IF(J33="y",$J$4,0))+(IF(K33="y",$K$4,0))))+(IF(L33="y",$L$4,0))+(IF(M33="y",$M$4,0))+IF(AND(N33="Y",O33="Y"),0,(IF(N33="y",$N$4,0))+(IF(O33="y",$O$4,0)))+(IF(Q33="y",$Q$4,0))+IF((R33+S33&lt;=8),(IF((0&lt;R33)*(R33&lt;=8),R33*2,0))+(IF((0&lt;S33)*(S33&lt;=8),S33*5,0)),0)+IF((I33&lt;=3)*(I33&gt;=0),I33*15,0),"Error")</f>
        <v>0</v>
      </c>
      <c r="F33" s="53"/>
      <c r="G33" s="53"/>
      <c r="H33" s="53"/>
      <c r="I33" s="53"/>
      <c r="J33" s="53"/>
      <c r="K33" s="53"/>
      <c r="L33" s="53"/>
      <c r="M33" s="53"/>
      <c r="N33" s="53"/>
      <c r="O33" s="53"/>
      <c r="P33" s="53"/>
      <c r="Q33" s="53"/>
      <c r="R33" s="53"/>
      <c r="S33" s="53"/>
    </row>
    <row r="34" spans="1:19" s="16" customFormat="1" ht="24.75" customHeight="1" thickBot="1">
      <c r="A34" s="54"/>
      <c r="B34" s="56">
        <v>2</v>
      </c>
      <c r="C34" s="69"/>
      <c r="D34" s="67"/>
      <c r="E34" s="68">
        <f>IF(NOT(OR(AND($H34&lt;&gt;"Y",$I34&gt;0),AND($J34="Y",$K34="Y"),AND($L34="Y",$L33="Y"),AND($N34="Y",$O34="Y"),OR($R34+$S34&gt;8,$R34+$S34&lt;0))),(IF(F34="y",$F$4,0))+(IF(P34="y",$P$4,0))+(IF(G34="y",$G$4,0))+(IF(H34="y",$H$4,0))+IF(AND(J34="Y",K34="Y"),0,((IF(J34="y",$J$4,0))+(IF(K34="y",$K$4,0))))+(IF(L34="y",$L$4,0))+(IF(M34="y",$M$4,0))+IF(AND(N34="Y",O34="Y"),0,(IF(N34="y",$N$4,0))+(IF(O34="y",$O$4,0)))+(IF(Q34="y",$Q$4,0))+IF((R34+S34&lt;=8),(IF((0&lt;R34)*(R34&lt;=8),R34*2,0))+(IF((0&lt;S34)*(S34&lt;=8),S34*5,0)),0)+IF((I34&lt;=3)*(I34&gt;=0),I34*15,0),"Error")</f>
        <v>0</v>
      </c>
      <c r="F34" s="53"/>
      <c r="G34" s="53"/>
      <c r="H34" s="53"/>
      <c r="I34" s="53"/>
      <c r="J34" s="53"/>
      <c r="K34" s="53"/>
      <c r="L34" s="53"/>
      <c r="M34" s="53"/>
      <c r="N34" s="53"/>
      <c r="O34" s="53"/>
      <c r="P34" s="53"/>
      <c r="Q34" s="53"/>
      <c r="R34" s="53"/>
      <c r="S34" s="53"/>
    </row>
    <row r="35" spans="1:19" s="16" customFormat="1" ht="17.25" customHeight="1" thickBot="1">
      <c r="A35" s="39" t="s">
        <v>36</v>
      </c>
      <c r="B35" s="60" t="s">
        <v>37</v>
      </c>
      <c r="C35" s="60" t="s">
        <v>38</v>
      </c>
      <c r="D35" s="61" t="s">
        <v>39</v>
      </c>
      <c r="E35" s="42">
        <f>IF(OR(J35&lt;&gt;"",N35&lt;&gt;"",R35&lt;&gt;"",L35&lt;&gt;"",H35&lt;&gt;""),"Error","")</f>
      </c>
      <c r="F35" s="62"/>
      <c r="G35" s="63"/>
      <c r="H35" s="310">
        <f>IF(OR(AND(I36&gt;0,H36&lt;&gt;"Y"),AND(I37&gt;0,H37&lt;&gt;"Y")),CONCATENATE("Mark ",CHAR(34),"Any Flag Up",CHAR(34)),"")</f>
      </c>
      <c r="I35" s="310"/>
      <c r="J35" s="310">
        <f>IF(OR((AND(J36="y",K36="y")),(AND(J37="y",K37="y"))),"Too Many Artifacts","")</f>
      </c>
      <c r="K35" s="310"/>
      <c r="L35" s="310">
        <f>IF(AND(L36="Y",L37="Y"),"Too Many Dolphins","")</f>
      </c>
      <c r="M35" s="310"/>
      <c r="N35" s="310">
        <f>IF(OR((AND(N36="y",O36="y")),(AND(N37="y",O37="y"))),"Only 1 Sub","")</f>
      </c>
      <c r="O35" s="310"/>
      <c r="P35" s="64"/>
      <c r="Q35" s="65"/>
      <c r="R35" s="310">
        <f>IF(OR(R36+S36&gt;8,R37+S37&gt;8),"Too Many Crates","")</f>
      </c>
      <c r="S35" s="310"/>
    </row>
    <row r="36" spans="1:19" s="16" customFormat="1" ht="24.75" customHeight="1" thickBot="1">
      <c r="A36" s="47">
        <f>A33+1</f>
        <v>10</v>
      </c>
      <c r="B36" s="48">
        <v>1</v>
      </c>
      <c r="C36" s="66"/>
      <c r="D36" s="67"/>
      <c r="E36" s="68">
        <f>IF(NOT(OR(AND($H36&lt;&gt;"Y",$I36&gt;0),AND($J36="Y",$K36="Y"),AND($L36="Y",$L37="Y"),AND($N36="Y",$O36="Y"),OR($R36+$S36&gt;8,$R36+$S36&lt;0))),(IF(F36="y",$F$4,0))+(IF(P36="y",$P$4,0))+(IF(G36="y",$G$4,0))+(IF(H36="y",$H$4,0))+IF(AND(J36="Y",K36="Y"),0,((IF(J36="y",$J$4,0))+(IF(K36="y",$K$4,0))))+(IF(L36="y",$L$4,0))+(IF(M36="y",$M$4,0))+IF(AND(N36="Y",O36="Y"),0,(IF(N36="y",$N$4,0))+(IF(O36="y",$O$4,0)))+(IF(Q36="y",$Q$4,0))+IF((R36+S36&lt;=8),(IF((0&lt;R36)*(R36&lt;=8),R36*2,0))+(IF((0&lt;S36)*(S36&lt;=8),S36*5,0)),0)+IF((I36&lt;=3)*(I36&gt;=0),I36*15,0),"Error")</f>
        <v>0</v>
      </c>
      <c r="F36" s="53"/>
      <c r="G36" s="53"/>
      <c r="H36" s="53"/>
      <c r="I36" s="53"/>
      <c r="J36" s="53"/>
      <c r="K36" s="53"/>
      <c r="L36" s="53"/>
      <c r="M36" s="53"/>
      <c r="N36" s="53"/>
      <c r="O36" s="53"/>
      <c r="P36" s="53"/>
      <c r="Q36" s="53"/>
      <c r="R36" s="53"/>
      <c r="S36" s="53"/>
    </row>
    <row r="37" spans="1:19" s="16" customFormat="1" ht="24.75" customHeight="1" thickBot="1">
      <c r="A37" s="54"/>
      <c r="B37" s="56">
        <v>2</v>
      </c>
      <c r="C37" s="69"/>
      <c r="D37" s="67"/>
      <c r="E37" s="68">
        <f>IF(NOT(OR(AND($H37&lt;&gt;"Y",$I37&gt;0),AND($J37="Y",$K37="Y"),AND($L37="Y",$L36="Y"),AND($N37="Y",$O37="Y"),OR($R37+$S37&gt;8,$R37+$S37&lt;0))),(IF(F37="y",$F$4,0))+(IF(P37="y",$P$4,0))+(IF(G37="y",$G$4,0))+(IF(H37="y",$H$4,0))+IF(AND(J37="Y",K37="Y"),0,((IF(J37="y",$J$4,0))+(IF(K37="y",$K$4,0))))+(IF(L37="y",$L$4,0))+(IF(M37="y",$M$4,0))+IF(AND(N37="Y",O37="Y"),0,(IF(N37="y",$N$4,0))+(IF(O37="y",$O$4,0)))+(IF(Q37="y",$Q$4,0))+IF((R37+S37&lt;=8),(IF((0&lt;R37)*(R37&lt;=8),R37*2,0))+(IF((0&lt;S37)*(S37&lt;=8),S37*5,0)),0)+IF((I37&lt;=3)*(I37&gt;=0),I37*15,0),"Error")</f>
        <v>0</v>
      </c>
      <c r="F37" s="53"/>
      <c r="G37" s="53"/>
      <c r="H37" s="53"/>
      <c r="I37" s="53"/>
      <c r="J37" s="53"/>
      <c r="K37" s="53"/>
      <c r="L37" s="53"/>
      <c r="M37" s="53"/>
      <c r="N37" s="53"/>
      <c r="O37" s="53"/>
      <c r="P37" s="53"/>
      <c r="Q37" s="53"/>
      <c r="R37" s="53"/>
      <c r="S37" s="53"/>
    </row>
    <row r="38" spans="1:19" s="16" customFormat="1" ht="17.25" customHeight="1" thickBot="1">
      <c r="A38" s="39" t="s">
        <v>36</v>
      </c>
      <c r="B38" s="60" t="s">
        <v>37</v>
      </c>
      <c r="C38" s="60" t="s">
        <v>38</v>
      </c>
      <c r="D38" s="61" t="s">
        <v>39</v>
      </c>
      <c r="E38" s="42">
        <f>IF(OR(J38&lt;&gt;"",N38&lt;&gt;"",R38&lt;&gt;"",L38&lt;&gt;"",H38&lt;&gt;""),"Error","")</f>
      </c>
      <c r="F38" s="62"/>
      <c r="G38" s="63"/>
      <c r="H38" s="310">
        <f>IF(OR(AND(I39&gt;0,H39&lt;&gt;"Y"),AND(I40&gt;0,H40&lt;&gt;"Y")),CONCATENATE("Mark ",CHAR(34),"Any Flag Up",CHAR(34)),"")</f>
      </c>
      <c r="I38" s="310"/>
      <c r="J38" s="310">
        <f>IF(OR((AND(J39="y",K39="y")),(AND(J40="y",K40="y"))),"Too Many Artifacts","")</f>
      </c>
      <c r="K38" s="310"/>
      <c r="L38" s="310">
        <f>IF(AND(L39="Y",L40="Y"),"Too Many Dolphins","")</f>
      </c>
      <c r="M38" s="310"/>
      <c r="N38" s="310">
        <f>IF(OR((AND(N39="y",O39="y")),(AND(N40="y",O40="y"))),"Only 1 Sub","")</f>
      </c>
      <c r="O38" s="310"/>
      <c r="P38" s="64"/>
      <c r="Q38" s="65"/>
      <c r="R38" s="310">
        <f>IF(OR(R39+S39&gt;8,R40+S40&gt;8),"Too Many Crates","")</f>
      </c>
      <c r="S38" s="310"/>
    </row>
    <row r="39" spans="1:19" s="16" customFormat="1" ht="24.75" customHeight="1" thickBot="1">
      <c r="A39" s="47">
        <f>A36+1</f>
        <v>11</v>
      </c>
      <c r="B39" s="48">
        <v>1</v>
      </c>
      <c r="C39" s="66"/>
      <c r="D39" s="67"/>
      <c r="E39" s="68">
        <f>IF(NOT(OR(AND($H39&lt;&gt;"Y",$I39&gt;0),AND($J39="Y",$K39="Y"),AND($L39="Y",$L40="Y"),AND($N39="Y",$O39="Y"),OR($R39+$S39&gt;8,$R39+$S39&lt;0))),(IF(F39="y",$F$4,0))+(IF(P39="y",$P$4,0))+(IF(G39="y",$G$4,0))+(IF(H39="y",$H$4,0))+IF(AND(J39="Y",K39="Y"),0,((IF(J39="y",$J$4,0))+(IF(K39="y",$K$4,0))))+(IF(L39="y",$L$4,0))+(IF(M39="y",$M$4,0))+IF(AND(N39="Y",O39="Y"),0,(IF(N39="y",$N$4,0))+(IF(O39="y",$O$4,0)))+(IF(Q39="y",$Q$4,0))+IF((R39+S39&lt;=8),(IF((0&lt;R39)*(R39&lt;=8),R39*2,0))+(IF((0&lt;S39)*(S39&lt;=8),S39*5,0)),0)+IF((I39&lt;=3)*(I39&gt;=0),I39*15,0),"Error")</f>
        <v>0</v>
      </c>
      <c r="F39" s="53"/>
      <c r="G39" s="53"/>
      <c r="H39" s="53"/>
      <c r="I39" s="53"/>
      <c r="J39" s="53"/>
      <c r="K39" s="53"/>
      <c r="L39" s="53"/>
      <c r="M39" s="53"/>
      <c r="N39" s="53"/>
      <c r="O39" s="53"/>
      <c r="P39" s="53"/>
      <c r="Q39" s="53"/>
      <c r="R39" s="53"/>
      <c r="S39" s="53"/>
    </row>
    <row r="40" spans="1:19" s="16" customFormat="1" ht="24.75" customHeight="1" thickBot="1">
      <c r="A40" s="54"/>
      <c r="B40" s="56">
        <v>2</v>
      </c>
      <c r="C40" s="69"/>
      <c r="D40" s="67"/>
      <c r="E40" s="68">
        <f>IF(NOT(OR(AND($H40&lt;&gt;"Y",$I40&gt;0),AND($J40="Y",$K40="Y"),AND($L40="Y",$L39="Y"),AND($N40="Y",$O40="Y"),OR($R40+$S40&gt;8,$R40+$S40&lt;0))),(IF(F40="y",$F$4,0))+(IF(P40="y",$P$4,0))+(IF(G40="y",$G$4,0))+(IF(H40="y",$H$4,0))+IF(AND(J40="Y",K40="Y"),0,((IF(J40="y",$J$4,0))+(IF(K40="y",$K$4,0))))+(IF(L40="y",$L$4,0))+(IF(M40="y",$M$4,0))+IF(AND(N40="Y",O40="Y"),0,(IF(N40="y",$N$4,0))+(IF(O40="y",$O$4,0)))+(IF(Q40="y",$Q$4,0))+IF((R40+S40&lt;=8),(IF((0&lt;R40)*(R40&lt;=8),R40*2,0))+(IF((0&lt;S40)*(S40&lt;=8),S40*5,0)),0)+IF((I40&lt;=3)*(I40&gt;=0),I40*15,0),"Error")</f>
        <v>0</v>
      </c>
      <c r="F40" s="53"/>
      <c r="G40" s="53"/>
      <c r="H40" s="53"/>
      <c r="I40" s="53"/>
      <c r="J40" s="53"/>
      <c r="K40" s="53"/>
      <c r="L40" s="53"/>
      <c r="M40" s="53"/>
      <c r="N40" s="53"/>
      <c r="O40" s="53"/>
      <c r="P40" s="53"/>
      <c r="Q40" s="53"/>
      <c r="R40" s="53"/>
      <c r="S40" s="53"/>
    </row>
    <row r="41" spans="1:19" s="16" customFormat="1" ht="17.25" customHeight="1" thickBot="1">
      <c r="A41" s="39" t="s">
        <v>36</v>
      </c>
      <c r="B41" s="60" t="s">
        <v>37</v>
      </c>
      <c r="C41" s="60" t="s">
        <v>38</v>
      </c>
      <c r="D41" s="61" t="s">
        <v>39</v>
      </c>
      <c r="E41" s="42">
        <f>IF(OR(J41&lt;&gt;"",N41&lt;&gt;"",R41&lt;&gt;"",L41&lt;&gt;"",H41&lt;&gt;""),"Error","")</f>
      </c>
      <c r="F41" s="62"/>
      <c r="G41" s="63"/>
      <c r="H41" s="310">
        <f>IF(OR(AND(I42&gt;0,H42&lt;&gt;"Y"),AND(I43&gt;0,H43&lt;&gt;"Y")),CONCATENATE("Mark ",CHAR(34),"Any Flag Up",CHAR(34)),"")</f>
      </c>
      <c r="I41" s="310"/>
      <c r="J41" s="310">
        <f>IF(OR((AND(J42="y",K42="y")),(AND(J43="y",K43="y"))),"Too Many Artifacts","")</f>
      </c>
      <c r="K41" s="310"/>
      <c r="L41" s="310">
        <f>IF(AND(L42="Y",L43="Y"),"Too Many Dolphins","")</f>
      </c>
      <c r="M41" s="310"/>
      <c r="N41" s="310">
        <f>IF(OR((AND(N42="y",O42="y")),(AND(N43="y",O43="y"))),"Only 1 Sub","")</f>
      </c>
      <c r="O41" s="310"/>
      <c r="P41" s="64"/>
      <c r="Q41" s="65"/>
      <c r="R41" s="310">
        <f>IF(OR(R42+S42&gt;8,R43+S43&gt;8),"Too Many Crates","")</f>
      </c>
      <c r="S41" s="310"/>
    </row>
    <row r="42" spans="1:19" s="16" customFormat="1" ht="24.75" customHeight="1" thickBot="1">
      <c r="A42" s="47">
        <f>A39+1</f>
        <v>12</v>
      </c>
      <c r="B42" s="48">
        <v>1</v>
      </c>
      <c r="C42" s="66"/>
      <c r="D42" s="67"/>
      <c r="E42" s="68">
        <f>IF(NOT(OR(AND($H42&lt;&gt;"Y",$I42&gt;0),AND($J42="Y",$K42="Y"),AND($L42="Y",$L43="Y"),AND($N42="Y",$O42="Y"),OR($R42+$S42&gt;8,$R42+$S42&lt;0))),(IF(F42="y",$F$4,0))+(IF(P42="y",$P$4,0))+(IF(G42="y",$G$4,0))+(IF(H42="y",$H$4,0))+IF(AND(J42="Y",K42="Y"),0,((IF(J42="y",$J$4,0))+(IF(K42="y",$K$4,0))))+(IF(L42="y",$L$4,0))+(IF(M42="y",$M$4,0))+IF(AND(N42="Y",O42="Y"),0,(IF(N42="y",$N$4,0))+(IF(O42="y",$O$4,0)))+(IF(Q42="y",$Q$4,0))+IF((R42+S42&lt;=8),(IF((0&lt;R42)*(R42&lt;=8),R42*2,0))+(IF((0&lt;S42)*(S42&lt;=8),S42*5,0)),0)+IF((I42&lt;=3)*(I42&gt;=0),I42*15,0),"Error")</f>
        <v>0</v>
      </c>
      <c r="F42" s="53"/>
      <c r="G42" s="53"/>
      <c r="H42" s="53"/>
      <c r="I42" s="53"/>
      <c r="J42" s="53"/>
      <c r="K42" s="53"/>
      <c r="L42" s="53"/>
      <c r="M42" s="53"/>
      <c r="N42" s="53"/>
      <c r="O42" s="53"/>
      <c r="P42" s="53"/>
      <c r="Q42" s="53"/>
      <c r="R42" s="53"/>
      <c r="S42" s="53"/>
    </row>
    <row r="43" spans="1:19" s="16" customFormat="1" ht="24.75" customHeight="1" thickBot="1">
      <c r="A43" s="54"/>
      <c r="B43" s="56">
        <v>2</v>
      </c>
      <c r="C43" s="69"/>
      <c r="D43" s="67"/>
      <c r="E43" s="68">
        <f>IF(NOT(OR(AND($H43&lt;&gt;"Y",$I43&gt;0),AND($J43="Y",$K43="Y"),AND($L43="Y",$L42="Y"),AND($N43="Y",$O43="Y"),OR($R43+$S43&gt;8,$R43+$S43&lt;0))),(IF(F43="y",$F$4,0))+(IF(P43="y",$P$4,0))+(IF(G43="y",$G$4,0))+(IF(H43="y",$H$4,0))+IF(AND(J43="Y",K43="Y"),0,((IF(J43="y",$J$4,0))+(IF(K43="y",$K$4,0))))+(IF(L43="y",$L$4,0))+(IF(M43="y",$M$4,0))+IF(AND(N43="Y",O43="Y"),0,(IF(N43="y",$N$4,0))+(IF(O43="y",$O$4,0)))+(IF(Q43="y",$Q$4,0))+IF((R43+S43&lt;=8),(IF((0&lt;R43)*(R43&lt;=8),R43*2,0))+(IF((0&lt;S43)*(S43&lt;=8),S43*5,0)),0)+IF((I43&lt;=3)*(I43&gt;=0),I43*15,0),"Error")</f>
        <v>0</v>
      </c>
      <c r="F43" s="53"/>
      <c r="G43" s="53"/>
      <c r="H43" s="53"/>
      <c r="I43" s="53"/>
      <c r="J43" s="53"/>
      <c r="K43" s="53"/>
      <c r="L43" s="53"/>
      <c r="M43" s="53"/>
      <c r="N43" s="53"/>
      <c r="O43" s="53"/>
      <c r="P43" s="53"/>
      <c r="Q43" s="53"/>
      <c r="R43" s="53"/>
      <c r="S43" s="53"/>
    </row>
    <row r="44" spans="1:19" s="16" customFormat="1" ht="17.25" customHeight="1" thickBot="1">
      <c r="A44" s="39" t="s">
        <v>36</v>
      </c>
      <c r="B44" s="60" t="s">
        <v>37</v>
      </c>
      <c r="C44" s="60" t="s">
        <v>38</v>
      </c>
      <c r="D44" s="61" t="s">
        <v>39</v>
      </c>
      <c r="E44" s="42">
        <f>IF(OR(J44&lt;&gt;"",N44&lt;&gt;"",R44&lt;&gt;"",L44&lt;&gt;"",H44&lt;&gt;""),"Error","")</f>
      </c>
      <c r="F44" s="62"/>
      <c r="G44" s="63"/>
      <c r="H44" s="310">
        <f>IF(OR(AND(I45&gt;0,H45&lt;&gt;"Y"),AND(I46&gt;0,H46&lt;&gt;"Y")),CONCATENATE("Mark ",CHAR(34),"Any Flag Up",CHAR(34)),"")</f>
      </c>
      <c r="I44" s="310"/>
      <c r="J44" s="310">
        <f>IF(OR((AND(J45="y",K45="y")),(AND(J46="y",K46="y"))),"Too Many Artifacts","")</f>
      </c>
      <c r="K44" s="310"/>
      <c r="L44" s="310">
        <f>IF(AND(L45="Y",L46="Y"),"Too Many Dolphins","")</f>
      </c>
      <c r="M44" s="310"/>
      <c r="N44" s="310">
        <f>IF(OR((AND(N45="y",O45="y")),(AND(N46="y",O46="y"))),"Only 1 Sub","")</f>
      </c>
      <c r="O44" s="310"/>
      <c r="P44" s="64"/>
      <c r="Q44" s="65"/>
      <c r="R44" s="310">
        <f>IF(OR(R45+S45&gt;8,R46+S46&gt;8),"Too Many Crates","")</f>
      </c>
      <c r="S44" s="310"/>
    </row>
    <row r="45" spans="1:19" s="16" customFormat="1" ht="24.75" customHeight="1" thickBot="1">
      <c r="A45" s="47">
        <f>A42+1</f>
        <v>13</v>
      </c>
      <c r="B45" s="48">
        <v>1</v>
      </c>
      <c r="C45" s="66"/>
      <c r="D45" s="67"/>
      <c r="E45" s="68">
        <f>IF(NOT(OR(AND($H45&lt;&gt;"Y",$I45&gt;0),AND($J45="Y",$K45="Y"),AND($L45="Y",$L46="Y"),AND($N45="Y",$O45="Y"),OR($R45+$S45&gt;8,$R45+$S45&lt;0))),(IF(F45="y",$F$4,0))+(IF(P45="y",$P$4,0))+(IF(G45="y",$G$4,0))+(IF(H45="y",$H$4,0))+IF(AND(J45="Y",K45="Y"),0,((IF(J45="y",$J$4,0))+(IF(K45="y",$K$4,0))))+(IF(L45="y",$L$4,0))+(IF(M45="y",$M$4,0))+IF(AND(N45="Y",O45="Y"),0,(IF(N45="y",$N$4,0))+(IF(O45="y",$O$4,0)))+(IF(Q45="y",$Q$4,0))+IF((R45+S45&lt;=8),(IF((0&lt;R45)*(R45&lt;=8),R45*2,0))+(IF((0&lt;S45)*(S45&lt;=8),S45*5,0)),0)+IF((I45&lt;=3)*(I45&gt;=0),I45*15,0),"Error")</f>
        <v>0</v>
      </c>
      <c r="F45" s="53"/>
      <c r="G45" s="53"/>
      <c r="H45" s="53"/>
      <c r="I45" s="53"/>
      <c r="J45" s="53"/>
      <c r="K45" s="53"/>
      <c r="L45" s="53"/>
      <c r="M45" s="53"/>
      <c r="N45" s="53"/>
      <c r="O45" s="53"/>
      <c r="P45" s="53"/>
      <c r="Q45" s="53"/>
      <c r="R45" s="53"/>
      <c r="S45" s="53"/>
    </row>
    <row r="46" spans="1:19" s="16" customFormat="1" ht="24.75" customHeight="1" thickBot="1">
      <c r="A46" s="54"/>
      <c r="B46" s="56">
        <v>2</v>
      </c>
      <c r="C46" s="69"/>
      <c r="D46" s="67"/>
      <c r="E46" s="68">
        <f>IF(NOT(OR(AND($H46&lt;&gt;"Y",$I46&gt;0),AND($J46="Y",$K46="Y"),AND($L46="Y",$L45="Y"),AND($N46="Y",$O46="Y"),OR($R46+$S46&gt;8,$R46+$S46&lt;0))),(IF(F46="y",$F$4,0))+(IF(P46="y",$P$4,0))+(IF(G46="y",$G$4,0))+(IF(H46="y",$H$4,0))+IF(AND(J46="Y",K46="Y"),0,((IF(J46="y",$J$4,0))+(IF(K46="y",$K$4,0))))+(IF(L46="y",$L$4,0))+(IF(M46="y",$M$4,0))+IF(AND(N46="Y",O46="Y"),0,(IF(N46="y",$N$4,0))+(IF(O46="y",$O$4,0)))+(IF(Q46="y",$Q$4,0))+IF((R46+S46&lt;=8),(IF((0&lt;R46)*(R46&lt;=8),R46*2,0))+(IF((0&lt;S46)*(S46&lt;=8),S46*5,0)),0)+IF((I46&lt;=3)*(I46&gt;=0),I46*15,0),"Error")</f>
        <v>0</v>
      </c>
      <c r="F46" s="53"/>
      <c r="G46" s="53"/>
      <c r="H46" s="53"/>
      <c r="I46" s="53"/>
      <c r="J46" s="53"/>
      <c r="K46" s="53"/>
      <c r="L46" s="53"/>
      <c r="M46" s="53"/>
      <c r="N46" s="53"/>
      <c r="O46" s="53"/>
      <c r="P46" s="53"/>
      <c r="Q46" s="53"/>
      <c r="R46" s="53"/>
      <c r="S46" s="53"/>
    </row>
    <row r="47" spans="1:19" s="16" customFormat="1" ht="17.25" customHeight="1" thickBot="1">
      <c r="A47" s="39" t="s">
        <v>36</v>
      </c>
      <c r="B47" s="60" t="s">
        <v>37</v>
      </c>
      <c r="C47" s="60" t="s">
        <v>38</v>
      </c>
      <c r="D47" s="61" t="s">
        <v>39</v>
      </c>
      <c r="E47" s="42">
        <f>IF(OR(J47&lt;&gt;"",N47&lt;&gt;"",R47&lt;&gt;"",L47&lt;&gt;"",H47&lt;&gt;""),"Error","")</f>
      </c>
      <c r="F47" s="62"/>
      <c r="G47" s="63"/>
      <c r="H47" s="310">
        <f>IF(OR(AND(I48&gt;0,H48&lt;&gt;"Y"),AND(I49&gt;0,H49&lt;&gt;"Y")),CONCATENATE("Mark ",CHAR(34),"Any Flag Up",CHAR(34)),"")</f>
      </c>
      <c r="I47" s="310"/>
      <c r="J47" s="310">
        <f>IF(OR((AND(J48="y",K48="y")),(AND(J49="y",K49="y"))),"Too Many Artifacts","")</f>
      </c>
      <c r="K47" s="310"/>
      <c r="L47" s="310">
        <f>IF(AND(L48="Y",L49="Y"),"Too Many Dolphins","")</f>
      </c>
      <c r="M47" s="310"/>
      <c r="N47" s="310">
        <f>IF(OR((AND(N48="y",O48="y")),(AND(N49="y",O49="y"))),"Only 1 Sub","")</f>
      </c>
      <c r="O47" s="310"/>
      <c r="P47" s="64"/>
      <c r="Q47" s="65"/>
      <c r="R47" s="310">
        <f>IF(OR(R48+S48&gt;8,R49+S49&gt;8),"Too Many Crates","")</f>
      </c>
      <c r="S47" s="310"/>
    </row>
    <row r="48" spans="1:19" s="16" customFormat="1" ht="24.75" customHeight="1" thickBot="1">
      <c r="A48" s="47">
        <f>A45+1</f>
        <v>14</v>
      </c>
      <c r="B48" s="48">
        <v>1</v>
      </c>
      <c r="C48" s="66"/>
      <c r="D48" s="67"/>
      <c r="E48" s="68">
        <f>IF(NOT(OR(AND($H48&lt;&gt;"Y",$I48&gt;0),AND($J48="Y",$K48="Y"),AND($L48="Y",$L49="Y"),AND($N48="Y",$O48="Y"),OR($R48+$S48&gt;8,$R48+$S48&lt;0))),(IF(F48="y",$F$4,0))+(IF(P48="y",$P$4,0))+(IF(G48="y",$G$4,0))+(IF(H48="y",$H$4,0))+IF(AND(J48="Y",K48="Y"),0,((IF(J48="y",$J$4,0))+(IF(K48="y",$K$4,0))))+(IF(L48="y",$L$4,0))+(IF(M48="y",$M$4,0))+IF(AND(N48="Y",O48="Y"),0,(IF(N48="y",$N$4,0))+(IF(O48="y",$O$4,0)))+(IF(Q48="y",$Q$4,0))+IF((R48+S48&lt;=8),(IF((0&lt;R48)*(R48&lt;=8),R48*2,0))+(IF((0&lt;S48)*(S48&lt;=8),S48*5,0)),0)+IF((I48&lt;=3)*(I48&gt;=0),I48*15,0),"Error")</f>
        <v>0</v>
      </c>
      <c r="F48" s="53"/>
      <c r="G48" s="53"/>
      <c r="H48" s="53"/>
      <c r="I48" s="53"/>
      <c r="J48" s="53"/>
      <c r="K48" s="53"/>
      <c r="L48" s="53"/>
      <c r="M48" s="53"/>
      <c r="N48" s="53"/>
      <c r="O48" s="53"/>
      <c r="P48" s="53"/>
      <c r="Q48" s="53"/>
      <c r="R48" s="53"/>
      <c r="S48" s="53"/>
    </row>
    <row r="49" spans="1:19" s="16" customFormat="1" ht="24.75" customHeight="1" thickBot="1">
      <c r="A49" s="54"/>
      <c r="B49" s="56">
        <v>2</v>
      </c>
      <c r="C49" s="69"/>
      <c r="D49" s="67"/>
      <c r="E49" s="68">
        <f>IF(NOT(OR(AND($H49&lt;&gt;"Y",$I49&gt;0),AND($J49="Y",$K49="Y"),AND($L49="Y",$L48="Y"),AND($N49="Y",$O49="Y"),OR($R49+$S49&gt;8,$R49+$S49&lt;0))),(IF(F49="y",$F$4,0))+(IF(P49="y",$P$4,0))+(IF(G49="y",$G$4,0))+(IF(H49="y",$H$4,0))+IF(AND(J49="Y",K49="Y"),0,((IF(J49="y",$J$4,0))+(IF(K49="y",$K$4,0))))+(IF(L49="y",$L$4,0))+(IF(M49="y",$M$4,0))+IF(AND(N49="Y",O49="Y"),0,(IF(N49="y",$N$4,0))+(IF(O49="y",$O$4,0)))+(IF(Q49="y",$Q$4,0))+IF((R49+S49&lt;=8),(IF((0&lt;R49)*(R49&lt;=8),R49*2,0))+(IF((0&lt;S49)*(S49&lt;=8),S49*5,0)),0)+IF((I49&lt;=3)*(I49&gt;=0),I49*15,0),"Error")</f>
        <v>0</v>
      </c>
      <c r="F49" s="53"/>
      <c r="G49" s="53"/>
      <c r="H49" s="53"/>
      <c r="I49" s="53"/>
      <c r="J49" s="53"/>
      <c r="K49" s="53"/>
      <c r="L49" s="53"/>
      <c r="M49" s="53"/>
      <c r="N49" s="53"/>
      <c r="O49" s="53"/>
      <c r="P49" s="53"/>
      <c r="Q49" s="53"/>
      <c r="R49" s="53"/>
      <c r="S49" s="53"/>
    </row>
    <row r="50" spans="1:19" s="16" customFormat="1" ht="17.25" customHeight="1" thickBot="1">
      <c r="A50" s="39" t="s">
        <v>36</v>
      </c>
      <c r="B50" s="60" t="s">
        <v>37</v>
      </c>
      <c r="C50" s="60" t="s">
        <v>38</v>
      </c>
      <c r="D50" s="61" t="s">
        <v>39</v>
      </c>
      <c r="E50" s="42">
        <f>IF(OR(J50&lt;&gt;"",N50&lt;&gt;"",R50&lt;&gt;"",L50&lt;&gt;"",H50&lt;&gt;""),"Error","")</f>
      </c>
      <c r="F50" s="62"/>
      <c r="G50" s="63"/>
      <c r="H50" s="310">
        <f>IF(OR(AND(I51&gt;0,H51&lt;&gt;"Y"),AND(I52&gt;0,H52&lt;&gt;"Y")),CONCATENATE("Mark ",CHAR(34),"Any Flag Up",CHAR(34)),"")</f>
      </c>
      <c r="I50" s="310"/>
      <c r="J50" s="310">
        <f>IF(OR((AND(J51="y",K51="y")),(AND(J52="y",K52="y"))),"Too Many Artifacts","")</f>
      </c>
      <c r="K50" s="310"/>
      <c r="L50" s="310">
        <f>IF(AND(L51="Y",L52="Y"),"Too Many Dolphins","")</f>
      </c>
      <c r="M50" s="310"/>
      <c r="N50" s="310">
        <f>IF(OR((AND(N51="y",O51="y")),(AND(N52="y",O52="y"))),"Only 1 Sub","")</f>
      </c>
      <c r="O50" s="310"/>
      <c r="P50" s="64"/>
      <c r="Q50" s="65"/>
      <c r="R50" s="310">
        <f>IF(OR(R51+S51&gt;8,R52+S52&gt;8),"Too Many Crates","")</f>
      </c>
      <c r="S50" s="310"/>
    </row>
    <row r="51" spans="1:19" s="16" customFormat="1" ht="24.75" customHeight="1" thickBot="1">
      <c r="A51" s="47">
        <f>A48+1</f>
        <v>15</v>
      </c>
      <c r="B51" s="48">
        <v>1</v>
      </c>
      <c r="C51" s="66"/>
      <c r="D51" s="67"/>
      <c r="E51" s="68">
        <f>IF(NOT(OR(AND($H51&lt;&gt;"Y",$I51&gt;0),AND($J51="Y",$K51="Y"),AND($L51="Y",$L52="Y"),AND($N51="Y",$O51="Y"),OR($R51+$S51&gt;8,$R51+$S51&lt;0))),(IF(F51="y",$F$4,0))+(IF(P51="y",$P$4,0))+(IF(G51="y",$G$4,0))+(IF(H51="y",$H$4,0))+IF(AND(J51="Y",K51="Y"),0,((IF(J51="y",$J$4,0))+(IF(K51="y",$K$4,0))))+(IF(L51="y",$L$4,0))+(IF(M51="y",$M$4,0))+IF(AND(N51="Y",O51="Y"),0,(IF(N51="y",$N$4,0))+(IF(O51="y",$O$4,0)))+(IF(Q51="y",$Q$4,0))+IF((R51+S51&lt;=8),(IF((0&lt;R51)*(R51&lt;=8),R51*2,0))+(IF((0&lt;S51)*(S51&lt;=8),S51*5,0)),0)+IF((I51&lt;=3)*(I51&gt;=0),I51*15,0),"Error")</f>
        <v>0</v>
      </c>
      <c r="F51" s="53"/>
      <c r="G51" s="53"/>
      <c r="H51" s="53"/>
      <c r="I51" s="53"/>
      <c r="J51" s="53"/>
      <c r="K51" s="53"/>
      <c r="L51" s="53"/>
      <c r="M51" s="53"/>
      <c r="N51" s="53"/>
      <c r="O51" s="53"/>
      <c r="P51" s="53"/>
      <c r="Q51" s="53"/>
      <c r="R51" s="53"/>
      <c r="S51" s="53"/>
    </row>
    <row r="52" spans="1:19" s="16" customFormat="1" ht="24.75" customHeight="1" thickBot="1">
      <c r="A52" s="54"/>
      <c r="B52" s="56">
        <v>2</v>
      </c>
      <c r="C52" s="69"/>
      <c r="D52" s="67"/>
      <c r="E52" s="68">
        <f>IF(NOT(OR(AND($H52&lt;&gt;"Y",$I52&gt;0),AND($J52="Y",$K52="Y"),AND($L52="Y",$L51="Y"),AND($N52="Y",$O52="Y"),OR($R52+$S52&gt;8,$R52+$S52&lt;0))),(IF(F52="y",$F$4,0))+(IF(P52="y",$P$4,0))+(IF(G52="y",$G$4,0))+(IF(H52="y",$H$4,0))+IF(AND(J52="Y",K52="Y"),0,((IF(J52="y",$J$4,0))+(IF(K52="y",$K$4,0))))+(IF(L52="y",$L$4,0))+(IF(M52="y",$M$4,0))+IF(AND(N52="Y",O52="Y"),0,(IF(N52="y",$N$4,0))+(IF(O52="y",$O$4,0)))+(IF(Q52="y",$Q$4,0))+IF((R52+S52&lt;=8),(IF((0&lt;R52)*(R52&lt;=8),R52*2,0))+(IF((0&lt;S52)*(S52&lt;=8),S52*5,0)),0)+IF((I52&lt;=3)*(I52&gt;=0),I52*15,0),"Error")</f>
        <v>0</v>
      </c>
      <c r="F52" s="53"/>
      <c r="G52" s="53"/>
      <c r="H52" s="53"/>
      <c r="I52" s="53"/>
      <c r="J52" s="53"/>
      <c r="K52" s="53"/>
      <c r="L52" s="53"/>
      <c r="M52" s="53"/>
      <c r="N52" s="53"/>
      <c r="O52" s="53"/>
      <c r="P52" s="53"/>
      <c r="Q52" s="53"/>
      <c r="R52" s="53"/>
      <c r="S52" s="53"/>
    </row>
    <row r="53" spans="1:19" s="16" customFormat="1" ht="17.25" customHeight="1" thickBot="1">
      <c r="A53" s="39" t="s">
        <v>36</v>
      </c>
      <c r="B53" s="60" t="s">
        <v>37</v>
      </c>
      <c r="C53" s="60" t="s">
        <v>38</v>
      </c>
      <c r="D53" s="61" t="s">
        <v>39</v>
      </c>
      <c r="E53" s="42">
        <f>IF(OR(J53&lt;&gt;"",N53&lt;&gt;"",R53&lt;&gt;"",L53&lt;&gt;"",H53&lt;&gt;""),"Error","")</f>
      </c>
      <c r="F53" s="62"/>
      <c r="G53" s="63"/>
      <c r="H53" s="310">
        <f>IF(OR(AND(I54&gt;0,H54&lt;&gt;"Y"),AND(I55&gt;0,H55&lt;&gt;"Y")),CONCATENATE("Mark ",CHAR(34),"Any Flag Up",CHAR(34)),"")</f>
      </c>
      <c r="I53" s="310"/>
      <c r="J53" s="310">
        <f>IF(OR((AND(J54="y",K54="y")),(AND(J55="y",K55="y"))),"Too Many Artifacts","")</f>
      </c>
      <c r="K53" s="310"/>
      <c r="L53" s="310">
        <f>IF(AND(L54="Y",L55="Y"),"Too Many Dolphins","")</f>
      </c>
      <c r="M53" s="310"/>
      <c r="N53" s="310">
        <f>IF(OR((AND(N54="y",O54="y")),(AND(N55="y",O55="y"))),"Only 1 Sub","")</f>
      </c>
      <c r="O53" s="310"/>
      <c r="P53" s="64"/>
      <c r="Q53" s="65"/>
      <c r="R53" s="310">
        <f>IF(OR(R54+S54&gt;8,R55+S55&gt;8),"Too Many Crates","")</f>
      </c>
      <c r="S53" s="310"/>
    </row>
    <row r="54" spans="1:19" s="16" customFormat="1" ht="24.75" customHeight="1" thickBot="1">
      <c r="A54" s="47">
        <f>A51+1</f>
        <v>16</v>
      </c>
      <c r="B54" s="48">
        <v>1</v>
      </c>
      <c r="C54" s="66"/>
      <c r="D54" s="67"/>
      <c r="E54" s="68">
        <f>IF(NOT(OR(AND($H54&lt;&gt;"Y",$I54&gt;0),AND($J54="Y",$K54="Y"),AND($L54="Y",$L55="Y"),AND($N54="Y",$O54="Y"),OR($R54+$S54&gt;8,$R54+$S54&lt;0))),(IF(F54="y",$F$4,0))+(IF(P54="y",$P$4,0))+(IF(G54="y",$G$4,0))+(IF(H54="y",$H$4,0))+IF(AND(J54="Y",K54="Y"),0,((IF(J54="y",$J$4,0))+(IF(K54="y",$K$4,0))))+(IF(L54="y",$L$4,0))+(IF(M54="y",$M$4,0))+IF(AND(N54="Y",O54="Y"),0,(IF(N54="y",$N$4,0))+(IF(O54="y",$O$4,0)))+(IF(Q54="y",$Q$4,0))+IF((R54+S54&lt;=8),(IF((0&lt;R54)*(R54&lt;=8),R54*2,0))+(IF((0&lt;S54)*(S54&lt;=8),S54*5,0)),0)+IF((I54&lt;=3)*(I54&gt;=0),I54*15,0),"Error")</f>
        <v>0</v>
      </c>
      <c r="F54" s="53"/>
      <c r="G54" s="53"/>
      <c r="H54" s="53"/>
      <c r="I54" s="53"/>
      <c r="J54" s="53"/>
      <c r="K54" s="53"/>
      <c r="L54" s="53"/>
      <c r="M54" s="53"/>
      <c r="N54" s="53"/>
      <c r="O54" s="53"/>
      <c r="P54" s="53"/>
      <c r="Q54" s="53"/>
      <c r="R54" s="53"/>
      <c r="S54" s="53"/>
    </row>
    <row r="55" spans="1:19" s="16" customFormat="1" ht="24.75" customHeight="1" thickBot="1">
      <c r="A55" s="54"/>
      <c r="B55" s="56">
        <v>2</v>
      </c>
      <c r="C55" s="69"/>
      <c r="D55" s="67"/>
      <c r="E55" s="68">
        <f>IF(NOT(OR(AND($H55&lt;&gt;"Y",$I55&gt;0),AND($J55="Y",$K55="Y"),AND($L55="Y",$L54="Y"),AND($N55="Y",$O55="Y"),OR($R55+$S55&gt;8,$R55+$S55&lt;0))),(IF(F55="y",$F$4,0))+(IF(P55="y",$P$4,0))+(IF(G55="y",$G$4,0))+(IF(H55="y",$H$4,0))+IF(AND(J55="Y",K55="Y"),0,((IF(J55="y",$J$4,0))+(IF(K55="y",$K$4,0))))+(IF(L55="y",$L$4,0))+(IF(M55="y",$M$4,0))+IF(AND(N55="Y",O55="Y"),0,(IF(N55="y",$N$4,0))+(IF(O55="y",$O$4,0)))+(IF(Q55="y",$Q$4,0))+IF((R55+S55&lt;=8),(IF((0&lt;R55)*(R55&lt;=8),R55*2,0))+(IF((0&lt;S55)*(S55&lt;=8),S55*5,0)),0)+IF((I55&lt;=3)*(I55&gt;=0),I55*15,0),"Error")</f>
        <v>0</v>
      </c>
      <c r="F55" s="53"/>
      <c r="G55" s="53"/>
      <c r="H55" s="53"/>
      <c r="I55" s="53"/>
      <c r="J55" s="53"/>
      <c r="K55" s="53"/>
      <c r="L55" s="53"/>
      <c r="M55" s="53"/>
      <c r="N55" s="53"/>
      <c r="O55" s="53"/>
      <c r="P55" s="53"/>
      <c r="Q55" s="53"/>
      <c r="R55" s="53"/>
      <c r="S55" s="53"/>
    </row>
    <row r="56" spans="1:19" s="16" customFormat="1" ht="17.25" customHeight="1" thickBot="1">
      <c r="A56" s="39" t="s">
        <v>36</v>
      </c>
      <c r="B56" s="60" t="s">
        <v>37</v>
      </c>
      <c r="C56" s="60" t="s">
        <v>38</v>
      </c>
      <c r="D56" s="61" t="s">
        <v>39</v>
      </c>
      <c r="E56" s="42">
        <f>IF(OR(J56&lt;&gt;"",N56&lt;&gt;"",R56&lt;&gt;"",L56&lt;&gt;"",H56&lt;&gt;""),"Error","")</f>
      </c>
      <c r="F56" s="62"/>
      <c r="G56" s="63"/>
      <c r="H56" s="310">
        <f>IF(OR(AND(I57&gt;0,H57&lt;&gt;"Y"),AND(I58&gt;0,H58&lt;&gt;"Y")),CONCATENATE("Mark ",CHAR(34),"Any Flag Up",CHAR(34)),"")</f>
      </c>
      <c r="I56" s="310"/>
      <c r="J56" s="310">
        <f>IF(OR((AND(J57="y",K57="y")),(AND(J58="y",K58="y"))),"Too Many Artifacts","")</f>
      </c>
      <c r="K56" s="310"/>
      <c r="L56" s="310">
        <f>IF(AND(L57="Y",L58="Y"),"Too Many Dolphins","")</f>
      </c>
      <c r="M56" s="310"/>
      <c r="N56" s="310">
        <f>IF(OR((AND(N57="y",O57="y")),(AND(N58="y",O58="y"))),"Only 1 Sub","")</f>
      </c>
      <c r="O56" s="310"/>
      <c r="P56" s="64"/>
      <c r="Q56" s="65"/>
      <c r="R56" s="310">
        <f>IF(OR(R57+S57&gt;8,R58+S58&gt;8),"Too Many Crates","")</f>
      </c>
      <c r="S56" s="310"/>
    </row>
    <row r="57" spans="1:19" s="16" customFormat="1" ht="24.75" customHeight="1" thickBot="1">
      <c r="A57" s="47">
        <f>A54+1</f>
        <v>17</v>
      </c>
      <c r="B57" s="48">
        <v>1</v>
      </c>
      <c r="C57" s="66"/>
      <c r="D57" s="67"/>
      <c r="E57" s="68">
        <f>IF(NOT(OR(AND($H57&lt;&gt;"Y",$I57&gt;0),AND($J57="Y",$K57="Y"),AND($L57="Y",$L58="Y"),AND($N57="Y",$O57="Y"),OR($R57+$S57&gt;8,$R57+$S57&lt;0))),(IF(F57="y",$F$4,0))+(IF(P57="y",$P$4,0))+(IF(G57="y",$G$4,0))+(IF(H57="y",$H$4,0))+IF(AND(J57="Y",K57="Y"),0,((IF(J57="y",$J$4,0))+(IF(K57="y",$K$4,0))))+(IF(L57="y",$L$4,0))+(IF(M57="y",$M$4,0))+IF(AND(N57="Y",O57="Y"),0,(IF(N57="y",$N$4,0))+(IF(O57="y",$O$4,0)))+(IF(Q57="y",$Q$4,0))+IF((R57+S57&lt;=8),(IF((0&lt;R57)*(R57&lt;=8),R57*2,0))+(IF((0&lt;S57)*(S57&lt;=8),S57*5,0)),0)+IF((I57&lt;=3)*(I57&gt;=0),I57*15,0),"Error")</f>
        <v>0</v>
      </c>
      <c r="F57" s="53"/>
      <c r="G57" s="53"/>
      <c r="H57" s="53"/>
      <c r="I57" s="53"/>
      <c r="J57" s="53"/>
      <c r="K57" s="53"/>
      <c r="L57" s="53"/>
      <c r="M57" s="53"/>
      <c r="N57" s="53"/>
      <c r="O57" s="53"/>
      <c r="P57" s="53"/>
      <c r="Q57" s="53"/>
      <c r="R57" s="53"/>
      <c r="S57" s="53"/>
    </row>
    <row r="58" spans="1:19" s="16" customFormat="1" ht="24.75" customHeight="1" thickBot="1">
      <c r="A58" s="54"/>
      <c r="B58" s="56">
        <v>2</v>
      </c>
      <c r="C58" s="69"/>
      <c r="D58" s="67"/>
      <c r="E58" s="68">
        <f>IF(NOT(OR(AND($H58&lt;&gt;"Y",$I58&gt;0),AND($J58="Y",$K58="Y"),AND($L58="Y",$L57="Y"),AND($N58="Y",$O58="Y"),OR($R58+$S58&gt;8,$R58+$S58&lt;0))),(IF(F58="y",$F$4,0))+(IF(P58="y",$P$4,0))+(IF(G58="y",$G$4,0))+(IF(H58="y",$H$4,0))+IF(AND(J58="Y",K58="Y"),0,((IF(J58="y",$J$4,0))+(IF(K58="y",$K$4,0))))+(IF(L58="y",$L$4,0))+(IF(M58="y",$M$4,0))+IF(AND(N58="Y",O58="Y"),0,(IF(N58="y",$N$4,0))+(IF(O58="y",$O$4,0)))+(IF(Q58="y",$Q$4,0))+IF((R58+S58&lt;=8),(IF((0&lt;R58)*(R58&lt;=8),R58*2,0))+(IF((0&lt;S58)*(S58&lt;=8),S58*5,0)),0)+IF((I58&lt;=3)*(I58&gt;=0),I58*15,0),"Error")</f>
        <v>0</v>
      </c>
      <c r="F58" s="53"/>
      <c r="G58" s="53"/>
      <c r="H58" s="53"/>
      <c r="I58" s="53"/>
      <c r="J58" s="53"/>
      <c r="K58" s="53"/>
      <c r="L58" s="53"/>
      <c r="M58" s="53"/>
      <c r="N58" s="53"/>
      <c r="O58" s="53"/>
      <c r="P58" s="53"/>
      <c r="Q58" s="53"/>
      <c r="R58" s="53"/>
      <c r="S58" s="53"/>
    </row>
    <row r="59" spans="1:19" s="16" customFormat="1" ht="17.25" customHeight="1" thickBot="1">
      <c r="A59" s="39" t="s">
        <v>36</v>
      </c>
      <c r="B59" s="60" t="s">
        <v>37</v>
      </c>
      <c r="C59" s="60" t="s">
        <v>38</v>
      </c>
      <c r="D59" s="61" t="s">
        <v>39</v>
      </c>
      <c r="E59" s="42">
        <f>IF(OR(J59&lt;&gt;"",N59&lt;&gt;"",R59&lt;&gt;"",L59&lt;&gt;"",H59&lt;&gt;""),"Error","")</f>
      </c>
      <c r="F59" s="62"/>
      <c r="G59" s="63"/>
      <c r="H59" s="310">
        <f>IF(OR(AND(I60&gt;0,H60&lt;&gt;"Y"),AND(I61&gt;0,H61&lt;&gt;"Y")),CONCATENATE("Mark ",CHAR(34),"Any Flag Up",CHAR(34)),"")</f>
      </c>
      <c r="I59" s="310"/>
      <c r="J59" s="310">
        <f>IF(OR((AND(J60="y",K60="y")),(AND(J61="y",K61="y"))),"Too Many Artifacts","")</f>
      </c>
      <c r="K59" s="310"/>
      <c r="L59" s="310">
        <f>IF(AND(L60="Y",L61="Y"),"Too Many Dolphins","")</f>
      </c>
      <c r="M59" s="310"/>
      <c r="N59" s="310">
        <f>IF(OR((AND(N60="y",O60="y")),(AND(N61="y",O61="y"))),"Only 1 Sub","")</f>
      </c>
      <c r="O59" s="310"/>
      <c r="P59" s="64"/>
      <c r="Q59" s="65"/>
      <c r="R59" s="310">
        <f>IF(OR(R60+S60&gt;8,R61+S61&gt;8),"Too Many Crates","")</f>
      </c>
      <c r="S59" s="310"/>
    </row>
    <row r="60" spans="1:19" s="16" customFormat="1" ht="24.75" customHeight="1" thickBot="1">
      <c r="A60" s="47">
        <f>A57+1</f>
        <v>18</v>
      </c>
      <c r="B60" s="48">
        <v>1</v>
      </c>
      <c r="C60" s="66"/>
      <c r="D60" s="67"/>
      <c r="E60" s="68">
        <f>IF(NOT(OR(AND($H60&lt;&gt;"Y",$I60&gt;0),AND($J60="Y",$K60="Y"),AND($L60="Y",$L61="Y"),AND($N60="Y",$O60="Y"),OR($R60+$S60&gt;8,$R60+$S60&lt;0))),(IF(F60="y",$F$4,0))+(IF(P60="y",$P$4,0))+(IF(G60="y",$G$4,0))+(IF(H60="y",$H$4,0))+IF(AND(J60="Y",K60="Y"),0,((IF(J60="y",$J$4,0))+(IF(K60="y",$K$4,0))))+(IF(L60="y",$L$4,0))+(IF(M60="y",$M$4,0))+IF(AND(N60="Y",O60="Y"),0,(IF(N60="y",$N$4,0))+(IF(O60="y",$O$4,0)))+(IF(Q60="y",$Q$4,0))+IF((R60+S60&lt;=8),(IF((0&lt;R60)*(R60&lt;=8),R60*2,0))+(IF((0&lt;S60)*(S60&lt;=8),S60*5,0)),0)+IF((I60&lt;=3)*(I60&gt;=0),I60*15,0),"Error")</f>
        <v>0</v>
      </c>
      <c r="F60" s="53"/>
      <c r="G60" s="53"/>
      <c r="H60" s="53"/>
      <c r="I60" s="53"/>
      <c r="J60" s="53"/>
      <c r="K60" s="53"/>
      <c r="L60" s="53"/>
      <c r="M60" s="53"/>
      <c r="N60" s="53"/>
      <c r="O60" s="53"/>
      <c r="P60" s="53"/>
      <c r="Q60" s="53"/>
      <c r="R60" s="53"/>
      <c r="S60" s="53"/>
    </row>
    <row r="61" spans="1:19" s="16" customFormat="1" ht="24.75" customHeight="1" thickBot="1">
      <c r="A61" s="54"/>
      <c r="B61" s="56">
        <v>2</v>
      </c>
      <c r="C61" s="69"/>
      <c r="D61" s="67"/>
      <c r="E61" s="68">
        <f>IF(NOT(OR(AND($H61&lt;&gt;"Y",$I61&gt;0),AND($J61="Y",$K61="Y"),AND($L61="Y",$L60="Y"),AND($N61="Y",$O61="Y"),OR($R61+$S61&gt;8,$R61+$S61&lt;0))),(IF(F61="y",$F$4,0))+(IF(P61="y",$P$4,0))+(IF(G61="y",$G$4,0))+(IF(H61="y",$H$4,0))+IF(AND(J61="Y",K61="Y"),0,((IF(J61="y",$J$4,0))+(IF(K61="y",$K$4,0))))+(IF(L61="y",$L$4,0))+(IF(M61="y",$M$4,0))+IF(AND(N61="Y",O61="Y"),0,(IF(N61="y",$N$4,0))+(IF(O61="y",$O$4,0)))+(IF(Q61="y",$Q$4,0))+IF((R61+S61&lt;=8),(IF((0&lt;R61)*(R61&lt;=8),R61*2,0))+(IF((0&lt;S61)*(S61&lt;=8),S61*5,0)),0)+IF((I61&lt;=3)*(I61&gt;=0),I61*15,0),"Error")</f>
        <v>0</v>
      </c>
      <c r="F61" s="53"/>
      <c r="G61" s="53"/>
      <c r="H61" s="53"/>
      <c r="I61" s="53"/>
      <c r="J61" s="53"/>
      <c r="K61" s="53"/>
      <c r="L61" s="53"/>
      <c r="M61" s="53"/>
      <c r="N61" s="53"/>
      <c r="O61" s="53"/>
      <c r="P61" s="53"/>
      <c r="Q61" s="53"/>
      <c r="R61" s="53"/>
      <c r="S61" s="53"/>
    </row>
    <row r="62" spans="1:19" s="16" customFormat="1" ht="17.25" customHeight="1" thickBot="1">
      <c r="A62" s="39" t="s">
        <v>36</v>
      </c>
      <c r="B62" s="60" t="s">
        <v>37</v>
      </c>
      <c r="C62" s="60" t="s">
        <v>38</v>
      </c>
      <c r="D62" s="61" t="s">
        <v>39</v>
      </c>
      <c r="E62" s="42">
        <f>IF(OR(J62&lt;&gt;"",N62&lt;&gt;"",R62&lt;&gt;"",L62&lt;&gt;"",H62&lt;&gt;""),"Error","")</f>
      </c>
      <c r="F62" s="62"/>
      <c r="G62" s="63"/>
      <c r="H62" s="310">
        <f>IF(OR(AND(I63&gt;0,H63&lt;&gt;"Y"),AND(I64&gt;0,H64&lt;&gt;"Y")),CONCATENATE("Mark ",CHAR(34),"Any Flag Up",CHAR(34)),"")</f>
      </c>
      <c r="I62" s="310"/>
      <c r="J62" s="310">
        <f>IF(OR((AND(J63="y",K63="y")),(AND(J64="y",K64="y"))),"Too Many Artifacts","")</f>
      </c>
      <c r="K62" s="310"/>
      <c r="L62" s="310">
        <f>IF(AND(L63="Y",L64="Y"),"Too Many Dolphins","")</f>
      </c>
      <c r="M62" s="310"/>
      <c r="N62" s="310">
        <f>IF(OR((AND(N63="y",O63="y")),(AND(N64="y",O64="y"))),"Only 1 Sub","")</f>
      </c>
      <c r="O62" s="310"/>
      <c r="P62" s="64"/>
      <c r="Q62" s="65"/>
      <c r="R62" s="310">
        <f>IF(OR(R63+S63&gt;8,R64+S64&gt;8),"Too Many Crates","")</f>
      </c>
      <c r="S62" s="310"/>
    </row>
    <row r="63" spans="1:19" s="16" customFormat="1" ht="24.75" customHeight="1" thickBot="1">
      <c r="A63" s="47">
        <f>A60+1</f>
        <v>19</v>
      </c>
      <c r="B63" s="48">
        <v>1</v>
      </c>
      <c r="C63" s="66"/>
      <c r="D63" s="67"/>
      <c r="E63" s="68">
        <f>IF(NOT(OR(AND($H63&lt;&gt;"Y",$I63&gt;0),AND($J63="Y",$K63="Y"),AND($L63="Y",$L64="Y"),AND($N63="Y",$O63="Y"),OR($R63+$S63&gt;8,$R63+$S63&lt;0))),(IF(F63="y",$F$4,0))+(IF(P63="y",$P$4,0))+(IF(G63="y",$G$4,0))+(IF(H63="y",$H$4,0))+IF(AND(J63="Y",K63="Y"),0,((IF(J63="y",$J$4,0))+(IF(K63="y",$K$4,0))))+(IF(L63="y",$L$4,0))+(IF(M63="y",$M$4,0))+IF(AND(N63="Y",O63="Y"),0,(IF(N63="y",$N$4,0))+(IF(O63="y",$O$4,0)))+(IF(Q63="y",$Q$4,0))+IF((R63+S63&lt;=8),(IF((0&lt;R63)*(R63&lt;=8),R63*2,0))+(IF((0&lt;S63)*(S63&lt;=8),S63*5,0)),0)+IF((I63&lt;=3)*(I63&gt;=0),I63*15,0),"Error")</f>
        <v>0</v>
      </c>
      <c r="F63" s="53"/>
      <c r="G63" s="53"/>
      <c r="H63" s="53"/>
      <c r="I63" s="53"/>
      <c r="J63" s="53"/>
      <c r="K63" s="53"/>
      <c r="L63" s="53"/>
      <c r="M63" s="53"/>
      <c r="N63" s="53"/>
      <c r="O63" s="53"/>
      <c r="P63" s="53"/>
      <c r="Q63" s="53"/>
      <c r="R63" s="53"/>
      <c r="S63" s="53"/>
    </row>
    <row r="64" spans="1:19" s="16" customFormat="1" ht="24.75" customHeight="1" thickBot="1">
      <c r="A64" s="54"/>
      <c r="B64" s="56">
        <v>2</v>
      </c>
      <c r="C64" s="69"/>
      <c r="D64" s="67"/>
      <c r="E64" s="68">
        <f>IF(NOT(OR(AND($H64&lt;&gt;"Y",$I64&gt;0),AND($J64="Y",$K64="Y"),AND($L64="Y",$L63="Y"),AND($N64="Y",$O64="Y"),OR($R64+$S64&gt;8,$R64+$S64&lt;0))),(IF(F64="y",$F$4,0))+(IF(P64="y",$P$4,0))+(IF(G64="y",$G$4,0))+(IF(H64="y",$H$4,0))+IF(AND(J64="Y",K64="Y"),0,((IF(J64="y",$J$4,0))+(IF(K64="y",$K$4,0))))+(IF(L64="y",$L$4,0))+(IF(M64="y",$M$4,0))+IF(AND(N64="Y",O64="Y"),0,(IF(N64="y",$N$4,0))+(IF(O64="y",$O$4,0)))+(IF(Q64="y",$Q$4,0))+IF((R64+S64&lt;=8),(IF((0&lt;R64)*(R64&lt;=8),R64*2,0))+(IF((0&lt;S64)*(S64&lt;=8),S64*5,0)),0)+IF((I64&lt;=3)*(I64&gt;=0),I64*15,0),"Error")</f>
        <v>0</v>
      </c>
      <c r="F64" s="53"/>
      <c r="G64" s="53"/>
      <c r="H64" s="53"/>
      <c r="I64" s="53"/>
      <c r="J64" s="53"/>
      <c r="K64" s="53"/>
      <c r="L64" s="53"/>
      <c r="M64" s="53"/>
      <c r="N64" s="53"/>
      <c r="O64" s="53"/>
      <c r="P64" s="53"/>
      <c r="Q64" s="53"/>
      <c r="R64" s="53"/>
      <c r="S64" s="53"/>
    </row>
    <row r="65" spans="1:19" s="16" customFormat="1" ht="17.25" customHeight="1" thickBot="1">
      <c r="A65" s="39" t="s">
        <v>36</v>
      </c>
      <c r="B65" s="60" t="s">
        <v>37</v>
      </c>
      <c r="C65" s="60" t="s">
        <v>38</v>
      </c>
      <c r="D65" s="61" t="s">
        <v>39</v>
      </c>
      <c r="E65" s="42">
        <f>IF(OR(J65&lt;&gt;"",N65&lt;&gt;"",R65&lt;&gt;"",L65&lt;&gt;"",H65&lt;&gt;""),"Error","")</f>
      </c>
      <c r="F65" s="62"/>
      <c r="G65" s="63"/>
      <c r="H65" s="310">
        <f>IF(OR(AND(I66&gt;0,H66&lt;&gt;"Y"),AND(I67&gt;0,H67&lt;&gt;"Y")),CONCATENATE("Mark ",CHAR(34),"Any Flag Up",CHAR(34)),"")</f>
      </c>
      <c r="I65" s="310"/>
      <c r="J65" s="310">
        <f>IF(OR((AND(J66="y",K66="y")),(AND(J67="y",K67="y"))),"Too Many Artifacts","")</f>
      </c>
      <c r="K65" s="310"/>
      <c r="L65" s="310">
        <f>IF(AND(L66="Y",L67="Y"),"Too Many Dolphins","")</f>
      </c>
      <c r="M65" s="310"/>
      <c r="N65" s="310">
        <f>IF(OR((AND(N66="y",O66="y")),(AND(N67="y",O67="y"))),"Only 1 Sub","")</f>
      </c>
      <c r="O65" s="310"/>
      <c r="P65" s="64"/>
      <c r="Q65" s="65"/>
      <c r="R65" s="310">
        <f>IF(OR(R66+S66&gt;8,R67+S67&gt;8),"Too Many Crates","")</f>
      </c>
      <c r="S65" s="310"/>
    </row>
    <row r="66" spans="1:19" s="16" customFormat="1" ht="24.75" customHeight="1" thickBot="1">
      <c r="A66" s="47">
        <f>A63+1</f>
        <v>20</v>
      </c>
      <c r="B66" s="48">
        <v>1</v>
      </c>
      <c r="C66" s="66"/>
      <c r="D66" s="67"/>
      <c r="E66" s="68">
        <f>IF(NOT(OR(AND($H66&lt;&gt;"Y",$I66&gt;0),AND($J66="Y",$K66="Y"),AND($L66="Y",$L67="Y"),AND($N66="Y",$O66="Y"),OR($R66+$S66&gt;8,$R66+$S66&lt;0))),(IF(F66="y",$F$4,0))+(IF(P66="y",$P$4,0))+(IF(G66="y",$G$4,0))+(IF(H66="y",$H$4,0))+IF(AND(J66="Y",K66="Y"),0,((IF(J66="y",$J$4,0))+(IF(K66="y",$K$4,0))))+(IF(L66="y",$L$4,0))+(IF(M66="y",$M$4,0))+IF(AND(N66="Y",O66="Y"),0,(IF(N66="y",$N$4,0))+(IF(O66="y",$O$4,0)))+(IF(Q66="y",$Q$4,0))+IF((R66+S66&lt;=8),(IF((0&lt;R66)*(R66&lt;=8),R66*2,0))+(IF((0&lt;S66)*(S66&lt;=8),S66*5,0)),0)+IF((I66&lt;=3)*(I66&gt;=0),I66*15,0),"Error")</f>
        <v>0</v>
      </c>
      <c r="F66" s="53"/>
      <c r="G66" s="53"/>
      <c r="H66" s="53"/>
      <c r="I66" s="53"/>
      <c r="J66" s="53"/>
      <c r="K66" s="53"/>
      <c r="L66" s="53"/>
      <c r="M66" s="53"/>
      <c r="N66" s="53"/>
      <c r="O66" s="53"/>
      <c r="P66" s="53"/>
      <c r="Q66" s="53"/>
      <c r="R66" s="53"/>
      <c r="S66" s="53"/>
    </row>
    <row r="67" spans="1:19" s="16" customFormat="1" ht="24.75" customHeight="1" thickBot="1">
      <c r="A67" s="54"/>
      <c r="B67" s="56">
        <v>2</v>
      </c>
      <c r="C67" s="69"/>
      <c r="D67" s="67"/>
      <c r="E67" s="68">
        <f>IF(NOT(OR(AND($H67&lt;&gt;"Y",$I67&gt;0),AND($J67="Y",$K67="Y"),AND($L67="Y",$L66="Y"),AND($N67="Y",$O67="Y"),OR($R67+$S67&gt;8,$R67+$S67&lt;0))),(IF(F67="y",$F$4,0))+(IF(P67="y",$P$4,0))+(IF(G67="y",$G$4,0))+(IF(H67="y",$H$4,0))+IF(AND(J67="Y",K67="Y"),0,((IF(J67="y",$J$4,0))+(IF(K67="y",$K$4,0))))+(IF(L67="y",$L$4,0))+(IF(M67="y",$M$4,0))+IF(AND(N67="Y",O67="Y"),0,(IF(N67="y",$N$4,0))+(IF(O67="y",$O$4,0)))+(IF(Q67="y",$Q$4,0))+IF((R67+S67&lt;=8),(IF((0&lt;R67)*(R67&lt;=8),R67*2,0))+(IF((0&lt;S67)*(S67&lt;=8),S67*5,0)),0)+IF((I67&lt;=3)*(I67&gt;=0),I67*15,0),"Error")</f>
        <v>0</v>
      </c>
      <c r="F67" s="53"/>
      <c r="G67" s="53"/>
      <c r="H67" s="53"/>
      <c r="I67" s="53"/>
      <c r="J67" s="53"/>
      <c r="K67" s="53"/>
      <c r="L67" s="53"/>
      <c r="M67" s="53"/>
      <c r="N67" s="53"/>
      <c r="O67" s="53"/>
      <c r="P67" s="53"/>
      <c r="Q67" s="53"/>
      <c r="R67" s="53"/>
      <c r="S67" s="53"/>
    </row>
    <row r="68" spans="1:19" s="16" customFormat="1" ht="17.25" customHeight="1" thickBot="1">
      <c r="A68" s="39" t="s">
        <v>36</v>
      </c>
      <c r="B68" s="60" t="s">
        <v>37</v>
      </c>
      <c r="C68" s="60" t="s">
        <v>38</v>
      </c>
      <c r="D68" s="61" t="s">
        <v>39</v>
      </c>
      <c r="E68" s="42">
        <f>IF(OR(J68&lt;&gt;"",N68&lt;&gt;"",R68&lt;&gt;"",L68&lt;&gt;"",H68&lt;&gt;""),"Error","")</f>
      </c>
      <c r="F68" s="62"/>
      <c r="G68" s="63"/>
      <c r="H68" s="310">
        <f>IF(OR(AND(I69&gt;0,H69&lt;&gt;"Y"),AND(I70&gt;0,H70&lt;&gt;"Y")),CONCATENATE("Mark ",CHAR(34),"Any Flag Up",CHAR(34)),"")</f>
      </c>
      <c r="I68" s="310"/>
      <c r="J68" s="310">
        <f>IF(OR((AND(J69="y",K69="y")),(AND(J70="y",K70="y"))),"Too Many Artifacts","")</f>
      </c>
      <c r="K68" s="310"/>
      <c r="L68" s="310">
        <f>IF(AND(L69="Y",L70="Y"),"Too Many Dolphins","")</f>
      </c>
      <c r="M68" s="310"/>
      <c r="N68" s="310">
        <f>IF(OR((AND(N69="y",O69="y")),(AND(N70="y",O70="y"))),"Only 1 Sub","")</f>
      </c>
      <c r="O68" s="310"/>
      <c r="P68" s="64"/>
      <c r="Q68" s="65"/>
      <c r="R68" s="310">
        <f>IF(OR(R69+S69&gt;8,R70+S70&gt;8),"Too Many Crates","")</f>
      </c>
      <c r="S68" s="310"/>
    </row>
    <row r="69" spans="1:19" s="16" customFormat="1" ht="24.75" customHeight="1" thickBot="1">
      <c r="A69" s="47">
        <f>A66+1</f>
        <v>21</v>
      </c>
      <c r="B69" s="48">
        <v>1</v>
      </c>
      <c r="C69" s="66"/>
      <c r="D69" s="67"/>
      <c r="E69" s="68">
        <f>IF(NOT(OR(AND($H69&lt;&gt;"Y",$I69&gt;0),AND($J69="Y",$K69="Y"),AND($L69="Y",$L70="Y"),AND($N69="Y",$O69="Y"),OR($R69+$S69&gt;8,$R69+$S69&lt;0))),(IF(F69="y",$F$4,0))+(IF(P69="y",$P$4,0))+(IF(G69="y",$G$4,0))+(IF(H69="y",$H$4,0))+IF(AND(J69="Y",K69="Y"),0,((IF(J69="y",$J$4,0))+(IF(K69="y",$K$4,0))))+(IF(L69="y",$L$4,0))+(IF(M69="y",$M$4,0))+IF(AND(N69="Y",O69="Y"),0,(IF(N69="y",$N$4,0))+(IF(O69="y",$O$4,0)))+(IF(Q69="y",$Q$4,0))+IF((R69+S69&lt;=8),(IF((0&lt;R69)*(R69&lt;=8),R69*2,0))+(IF((0&lt;S69)*(S69&lt;=8),S69*5,0)),0)+IF((I69&lt;=3)*(I69&gt;=0),I69*15,0),"Error")</f>
        <v>0</v>
      </c>
      <c r="F69" s="53"/>
      <c r="G69" s="53"/>
      <c r="H69" s="53"/>
      <c r="I69" s="53"/>
      <c r="J69" s="53"/>
      <c r="K69" s="53"/>
      <c r="L69" s="53"/>
      <c r="M69" s="53"/>
      <c r="N69" s="53"/>
      <c r="O69" s="53"/>
      <c r="P69" s="53"/>
      <c r="Q69" s="53"/>
      <c r="R69" s="53"/>
      <c r="S69" s="53"/>
    </row>
    <row r="70" spans="1:19" s="16" customFormat="1" ht="24.75" customHeight="1" thickBot="1">
      <c r="A70" s="54"/>
      <c r="B70" s="56">
        <v>2</v>
      </c>
      <c r="C70" s="69"/>
      <c r="D70" s="67"/>
      <c r="E70" s="68">
        <f>IF(NOT(OR(AND($H70&lt;&gt;"Y",$I70&gt;0),AND($J70="Y",$K70="Y"),AND($L70="Y",$L69="Y"),AND($N70="Y",$O70="Y"),OR($R70+$S70&gt;8,$R70+$S70&lt;0))),(IF(F70="y",$F$4,0))+(IF(P70="y",$P$4,0))+(IF(G70="y",$G$4,0))+(IF(H70="y",$H$4,0))+IF(AND(J70="Y",K70="Y"),0,((IF(J70="y",$J$4,0))+(IF(K70="y",$K$4,0))))+(IF(L70="y",$L$4,0))+(IF(M70="y",$M$4,0))+IF(AND(N70="Y",O70="Y"),0,(IF(N70="y",$N$4,0))+(IF(O70="y",$O$4,0)))+(IF(Q70="y",$Q$4,0))+IF((R70+S70&lt;=8),(IF((0&lt;R70)*(R70&lt;=8),R70*2,0))+(IF((0&lt;S70)*(S70&lt;=8),S70*5,0)),0)+IF((I70&lt;=3)*(I70&gt;=0),I70*15,0),"Error")</f>
        <v>0</v>
      </c>
      <c r="F70" s="53"/>
      <c r="G70" s="53"/>
      <c r="H70" s="53"/>
      <c r="I70" s="53"/>
      <c r="J70" s="53"/>
      <c r="K70" s="53"/>
      <c r="L70" s="53"/>
      <c r="M70" s="53"/>
      <c r="N70" s="53"/>
      <c r="O70" s="53"/>
      <c r="P70" s="53"/>
      <c r="Q70" s="53"/>
      <c r="R70" s="53"/>
      <c r="S70" s="53"/>
    </row>
    <row r="71" spans="1:19" s="16" customFormat="1" ht="17.25" customHeight="1" thickBot="1">
      <c r="A71" s="39" t="s">
        <v>36</v>
      </c>
      <c r="B71" s="60" t="s">
        <v>37</v>
      </c>
      <c r="C71" s="60" t="s">
        <v>38</v>
      </c>
      <c r="D71" s="61" t="s">
        <v>39</v>
      </c>
      <c r="E71" s="42">
        <f>IF(OR(J71&lt;&gt;"",N71&lt;&gt;"",R71&lt;&gt;"",L71&lt;&gt;"",H71&lt;&gt;""),"Error","")</f>
      </c>
      <c r="F71" s="62"/>
      <c r="G71" s="63"/>
      <c r="H71" s="310">
        <f>IF(OR(AND(I72&gt;0,H72&lt;&gt;"Y"),AND(I73&gt;0,H73&lt;&gt;"Y")),CONCATENATE("Mark ",CHAR(34),"Any Flag Up",CHAR(34)),"")</f>
      </c>
      <c r="I71" s="310"/>
      <c r="J71" s="310">
        <f>IF(OR((AND(J72="y",K72="y")),(AND(J73="y",K73="y"))),"Too Many Artifacts","")</f>
      </c>
      <c r="K71" s="310"/>
      <c r="L71" s="310">
        <f>IF(AND(L72="Y",L73="Y"),"Too Many Dolphins","")</f>
      </c>
      <c r="M71" s="310"/>
      <c r="N71" s="310">
        <f>IF(OR((AND(N72="y",O72="y")),(AND(N73="y",O73="y"))),"Only 1 Sub","")</f>
      </c>
      <c r="O71" s="310"/>
      <c r="P71" s="64"/>
      <c r="Q71" s="65"/>
      <c r="R71" s="310">
        <f>IF(OR(R72+S72&gt;8,R73+S73&gt;8),"Too Many Crates","")</f>
      </c>
      <c r="S71" s="310"/>
    </row>
    <row r="72" spans="1:19" s="16" customFormat="1" ht="24.75" customHeight="1" thickBot="1">
      <c r="A72" s="47">
        <f>A69+1</f>
        <v>22</v>
      </c>
      <c r="B72" s="48">
        <v>1</v>
      </c>
      <c r="C72" s="66"/>
      <c r="D72" s="67"/>
      <c r="E72" s="68">
        <f>IF(NOT(OR(AND($H72&lt;&gt;"Y",$I72&gt;0),AND($J72="Y",$K72="Y"),AND($L72="Y",$L73="Y"),AND($N72="Y",$O72="Y"),OR($R72+$S72&gt;8,$R72+$S72&lt;0))),(IF(F72="y",$F$4,0))+(IF(P72="y",$P$4,0))+(IF(G72="y",$G$4,0))+(IF(H72="y",$H$4,0))+IF(AND(J72="Y",K72="Y"),0,((IF(J72="y",$J$4,0))+(IF(K72="y",$K$4,0))))+(IF(L72="y",$L$4,0))+(IF(M72="y",$M$4,0))+IF(AND(N72="Y",O72="Y"),0,(IF(N72="y",$N$4,0))+(IF(O72="y",$O$4,0)))+(IF(Q72="y",$Q$4,0))+IF((R72+S72&lt;=8),(IF((0&lt;R72)*(R72&lt;=8),R72*2,0))+(IF((0&lt;S72)*(S72&lt;=8),S72*5,0)),0)+IF((I72&lt;=3)*(I72&gt;=0),I72*15,0),"Error")</f>
        <v>0</v>
      </c>
      <c r="F72" s="53"/>
      <c r="G72" s="53"/>
      <c r="H72" s="53"/>
      <c r="I72" s="53"/>
      <c r="J72" s="53"/>
      <c r="K72" s="53"/>
      <c r="L72" s="53"/>
      <c r="M72" s="53"/>
      <c r="N72" s="53"/>
      <c r="O72" s="53"/>
      <c r="P72" s="53"/>
      <c r="Q72" s="53"/>
      <c r="R72" s="53"/>
      <c r="S72" s="53"/>
    </row>
    <row r="73" spans="1:19" s="16" customFormat="1" ht="24.75" customHeight="1" thickBot="1">
      <c r="A73" s="54"/>
      <c r="B73" s="56">
        <v>2</v>
      </c>
      <c r="C73" s="69"/>
      <c r="D73" s="67"/>
      <c r="E73" s="68">
        <f>IF(NOT(OR(AND($H73&lt;&gt;"Y",$I73&gt;0),AND($J73="Y",$K73="Y"),AND($L73="Y",$L72="Y"),AND($N73="Y",$O73="Y"),OR($R73+$S73&gt;8,$R73+$S73&lt;0))),(IF(F73="y",$F$4,0))+(IF(P73="y",$P$4,0))+(IF(G73="y",$G$4,0))+(IF(H73="y",$H$4,0))+IF(AND(J73="Y",K73="Y"),0,((IF(J73="y",$J$4,0))+(IF(K73="y",$K$4,0))))+(IF(L73="y",$L$4,0))+(IF(M73="y",$M$4,0))+IF(AND(N73="Y",O73="Y"),0,(IF(N73="y",$N$4,0))+(IF(O73="y",$O$4,0)))+(IF(Q73="y",$Q$4,0))+IF((R73+S73&lt;=8),(IF((0&lt;R73)*(R73&lt;=8),R73*2,0))+(IF((0&lt;S73)*(S73&lt;=8),S73*5,0)),0)+IF((I73&lt;=3)*(I73&gt;=0),I73*15,0),"Error")</f>
        <v>0</v>
      </c>
      <c r="F73" s="53"/>
      <c r="G73" s="53"/>
      <c r="H73" s="53"/>
      <c r="I73" s="53"/>
      <c r="J73" s="53"/>
      <c r="K73" s="53"/>
      <c r="L73" s="53"/>
      <c r="M73" s="53"/>
      <c r="N73" s="53"/>
      <c r="O73" s="53"/>
      <c r="P73" s="53"/>
      <c r="Q73" s="53"/>
      <c r="R73" s="53"/>
      <c r="S73" s="53"/>
    </row>
    <row r="74" spans="1:19" s="16" customFormat="1" ht="17.25" customHeight="1" thickBot="1">
      <c r="A74" s="39" t="s">
        <v>36</v>
      </c>
      <c r="B74" s="60" t="s">
        <v>37</v>
      </c>
      <c r="C74" s="60" t="s">
        <v>38</v>
      </c>
      <c r="D74" s="61" t="s">
        <v>39</v>
      </c>
      <c r="E74" s="42">
        <f>IF(OR(J74&lt;&gt;"",N74&lt;&gt;"",R74&lt;&gt;"",L74&lt;&gt;"",H74&lt;&gt;""),"Error","")</f>
      </c>
      <c r="F74" s="62"/>
      <c r="G74" s="63"/>
      <c r="H74" s="310">
        <f>IF(OR(AND(I75&gt;0,H75&lt;&gt;"Y"),AND(I76&gt;0,H76&lt;&gt;"Y")),CONCATENATE("Mark ",CHAR(34),"Any Flag Up",CHAR(34)),"")</f>
      </c>
      <c r="I74" s="310"/>
      <c r="J74" s="310">
        <f>IF(OR((AND(J75="y",K75="y")),(AND(J76="y",K76="y"))),"Too Many Artifacts","")</f>
      </c>
      <c r="K74" s="310"/>
      <c r="L74" s="310">
        <f>IF(AND(L75="Y",L76="Y"),"Too Many Dolphins","")</f>
      </c>
      <c r="M74" s="310"/>
      <c r="N74" s="310">
        <f>IF(OR((AND(N75="y",O75="y")),(AND(N76="y",O76="y"))),"Only 1 Sub","")</f>
      </c>
      <c r="O74" s="310"/>
      <c r="P74" s="64"/>
      <c r="Q74" s="65"/>
      <c r="R74" s="310">
        <f>IF(OR(R75+S75&gt;8,R76+S76&gt;8),"Too Many Crates","")</f>
      </c>
      <c r="S74" s="310"/>
    </row>
    <row r="75" spans="1:19" s="16" customFormat="1" ht="24.75" customHeight="1" thickBot="1">
      <c r="A75" s="47">
        <f>A72+1</f>
        <v>23</v>
      </c>
      <c r="B75" s="48">
        <v>1</v>
      </c>
      <c r="C75" s="66"/>
      <c r="D75" s="67"/>
      <c r="E75" s="68">
        <f>IF(NOT(OR(AND($H75&lt;&gt;"Y",$I75&gt;0),AND($J75="Y",$K75="Y"),AND($L75="Y",$L76="Y"),AND($N75="Y",$O75="Y"),OR($R75+$S75&gt;8,$R75+$S75&lt;0))),(IF(F75="y",$F$4,0))+(IF(P75="y",$P$4,0))+(IF(G75="y",$G$4,0))+(IF(H75="y",$H$4,0))+IF(AND(J75="Y",K75="Y"),0,((IF(J75="y",$J$4,0))+(IF(K75="y",$K$4,0))))+(IF(L75="y",$L$4,0))+(IF(M75="y",$M$4,0))+IF(AND(N75="Y",O75="Y"),0,(IF(N75="y",$N$4,0))+(IF(O75="y",$O$4,0)))+(IF(Q75="y",$Q$4,0))+IF((R75+S75&lt;=8),(IF((0&lt;R75)*(R75&lt;=8),R75*2,0))+(IF((0&lt;S75)*(S75&lt;=8),S75*5,0)),0)+IF((I75&lt;=3)*(I75&gt;=0),I75*15,0),"Error")</f>
        <v>0</v>
      </c>
      <c r="F75" s="53"/>
      <c r="G75" s="53"/>
      <c r="H75" s="53"/>
      <c r="I75" s="53"/>
      <c r="J75" s="53"/>
      <c r="K75" s="53"/>
      <c r="L75" s="53"/>
      <c r="M75" s="53"/>
      <c r="N75" s="53"/>
      <c r="O75" s="53"/>
      <c r="P75" s="53"/>
      <c r="Q75" s="53"/>
      <c r="R75" s="53"/>
      <c r="S75" s="53"/>
    </row>
    <row r="76" spans="1:19" s="16" customFormat="1" ht="24.75" customHeight="1" thickBot="1">
      <c r="A76" s="54"/>
      <c r="B76" s="56">
        <v>2</v>
      </c>
      <c r="C76" s="69"/>
      <c r="D76" s="67"/>
      <c r="E76" s="68">
        <f>IF(NOT(OR(AND($H76&lt;&gt;"Y",$I76&gt;0),AND($J76="Y",$K76="Y"),AND($L76="Y",$L75="Y"),AND($N76="Y",$O76="Y"),OR($R76+$S76&gt;8,$R76+$S76&lt;0))),(IF(F76="y",$F$4,0))+(IF(P76="y",$P$4,0))+(IF(G76="y",$G$4,0))+(IF(H76="y",$H$4,0))+IF(AND(J76="Y",K76="Y"),0,((IF(J76="y",$J$4,0))+(IF(K76="y",$K$4,0))))+(IF(L76="y",$L$4,0))+(IF(M76="y",$M$4,0))+IF(AND(N76="Y",O76="Y"),0,(IF(N76="y",$N$4,0))+(IF(O76="y",$O$4,0)))+(IF(Q76="y",$Q$4,0))+IF((R76+S76&lt;=8),(IF((0&lt;R76)*(R76&lt;=8),R76*2,0))+(IF((0&lt;S76)*(S76&lt;=8),S76*5,0)),0)+IF((I76&lt;=3)*(I76&gt;=0),I76*15,0),"Error")</f>
        <v>0</v>
      </c>
      <c r="F76" s="53"/>
      <c r="G76" s="53"/>
      <c r="H76" s="53"/>
      <c r="I76" s="53"/>
      <c r="J76" s="53"/>
      <c r="K76" s="53"/>
      <c r="L76" s="53"/>
      <c r="M76" s="53"/>
      <c r="N76" s="53"/>
      <c r="O76" s="53"/>
      <c r="P76" s="53"/>
      <c r="Q76" s="53"/>
      <c r="R76" s="53"/>
      <c r="S76" s="53"/>
    </row>
    <row r="77" spans="1:19" s="16" customFormat="1" ht="17.25" customHeight="1" thickBot="1">
      <c r="A77" s="39" t="s">
        <v>36</v>
      </c>
      <c r="B77" s="60" t="s">
        <v>37</v>
      </c>
      <c r="C77" s="60" t="s">
        <v>38</v>
      </c>
      <c r="D77" s="61" t="s">
        <v>39</v>
      </c>
      <c r="E77" s="42">
        <f>IF(OR(J77&lt;&gt;"",N77&lt;&gt;"",R77&lt;&gt;"",L77&lt;&gt;"",H77&lt;&gt;""),"Error","")</f>
      </c>
      <c r="F77" s="62"/>
      <c r="G77" s="63"/>
      <c r="H77" s="310">
        <f>IF(OR(AND(I78&gt;0,H78&lt;&gt;"Y"),AND(I79&gt;0,H79&lt;&gt;"Y")),CONCATENATE("Mark ",CHAR(34),"Any Flag Up",CHAR(34)),"")</f>
      </c>
      <c r="I77" s="310"/>
      <c r="J77" s="310">
        <f>IF(OR((AND(J78="y",K78="y")),(AND(J79="y",K79="y"))),"Too Many Artifacts","")</f>
      </c>
      <c r="K77" s="310"/>
      <c r="L77" s="310">
        <f>IF(AND(L78="Y",L79="Y"),"Too Many Dolphins","")</f>
      </c>
      <c r="M77" s="310"/>
      <c r="N77" s="310">
        <f>IF(OR((AND(N78="y",O78="y")),(AND(N79="y",O79="y"))),"Only 1 Sub","")</f>
      </c>
      <c r="O77" s="310"/>
      <c r="P77" s="64"/>
      <c r="Q77" s="65"/>
      <c r="R77" s="310">
        <f>IF(OR(R78+S78&gt;8,R79+S79&gt;8),"Too Many Crates","")</f>
      </c>
      <c r="S77" s="310"/>
    </row>
    <row r="78" spans="1:19" s="16" customFormat="1" ht="24.75" customHeight="1" thickBot="1">
      <c r="A78" s="47">
        <f>A75+1</f>
        <v>24</v>
      </c>
      <c r="B78" s="48">
        <v>1</v>
      </c>
      <c r="C78" s="66"/>
      <c r="D78" s="67"/>
      <c r="E78" s="68">
        <f>IF(NOT(OR(AND($H78&lt;&gt;"Y",$I78&gt;0),AND($J78="Y",$K78="Y"),AND($L78="Y",$L79="Y"),AND($N78="Y",$O78="Y"),OR($R78+$S78&gt;8,$R78+$S78&lt;0))),(IF(F78="y",$F$4,0))+(IF(P78="y",$P$4,0))+(IF(G78="y",$G$4,0))+(IF(H78="y",$H$4,0))+IF(AND(J78="Y",K78="Y"),0,((IF(J78="y",$J$4,0))+(IF(K78="y",$K$4,0))))+(IF(L78="y",$L$4,0))+(IF(M78="y",$M$4,0))+IF(AND(N78="Y",O78="Y"),0,(IF(N78="y",$N$4,0))+(IF(O78="y",$O$4,0)))+(IF(Q78="y",$Q$4,0))+IF((R78+S78&lt;=8),(IF((0&lt;R78)*(R78&lt;=8),R78*2,0))+(IF((0&lt;S78)*(S78&lt;=8),S78*5,0)),0)+IF((I78&lt;=3)*(I78&gt;=0),I78*15,0),"Error")</f>
        <v>0</v>
      </c>
      <c r="F78" s="53"/>
      <c r="G78" s="53"/>
      <c r="H78" s="53"/>
      <c r="I78" s="53"/>
      <c r="J78" s="53"/>
      <c r="K78" s="53"/>
      <c r="L78" s="53"/>
      <c r="M78" s="53"/>
      <c r="N78" s="53"/>
      <c r="O78" s="53"/>
      <c r="P78" s="53"/>
      <c r="Q78" s="53"/>
      <c r="R78" s="53"/>
      <c r="S78" s="53"/>
    </row>
    <row r="79" spans="1:19" s="16" customFormat="1" ht="24.75" customHeight="1" thickBot="1">
      <c r="A79" s="54"/>
      <c r="B79" s="56">
        <v>2</v>
      </c>
      <c r="C79" s="69"/>
      <c r="D79" s="67"/>
      <c r="E79" s="68">
        <f>IF(NOT(OR(AND($H79&lt;&gt;"Y",$I79&gt;0),AND($J79="Y",$K79="Y"),AND($L79="Y",$L78="Y"),AND($N79="Y",$O79="Y"),OR($R79+$S79&gt;8,$R79+$S79&lt;0))),(IF(F79="y",$F$4,0))+(IF(P79="y",$P$4,0))+(IF(G79="y",$G$4,0))+(IF(H79="y",$H$4,0))+IF(AND(J79="Y",K79="Y"),0,((IF(J79="y",$J$4,0))+(IF(K79="y",$K$4,0))))+(IF(L79="y",$L$4,0))+(IF(M79="y",$M$4,0))+IF(AND(N79="Y",O79="Y"),0,(IF(N79="y",$N$4,0))+(IF(O79="y",$O$4,0)))+(IF(Q79="y",$Q$4,0))+IF((R79+S79&lt;=8),(IF((0&lt;R79)*(R79&lt;=8),R79*2,0))+(IF((0&lt;S79)*(S79&lt;=8),S79*5,0)),0)+IF((I79&lt;=3)*(I79&gt;=0),I79*15,0),"Error")</f>
        <v>0</v>
      </c>
      <c r="F79" s="53"/>
      <c r="G79" s="53"/>
      <c r="H79" s="53"/>
      <c r="I79" s="53"/>
      <c r="J79" s="53"/>
      <c r="K79" s="53"/>
      <c r="L79" s="53"/>
      <c r="M79" s="53"/>
      <c r="N79" s="53"/>
      <c r="O79" s="53"/>
      <c r="P79" s="53"/>
      <c r="Q79" s="53"/>
      <c r="R79" s="53"/>
      <c r="S79" s="53"/>
    </row>
    <row r="80" spans="1:19" s="16" customFormat="1" ht="17.25" customHeight="1" thickBot="1">
      <c r="A80" s="39" t="s">
        <v>36</v>
      </c>
      <c r="B80" s="60" t="s">
        <v>37</v>
      </c>
      <c r="C80" s="60" t="s">
        <v>38</v>
      </c>
      <c r="D80" s="61" t="s">
        <v>39</v>
      </c>
      <c r="E80" s="42">
        <f>IF(OR(J80&lt;&gt;"",N80&lt;&gt;"",R80&lt;&gt;"",L80&lt;&gt;"",H80&lt;&gt;""),"Error","")</f>
      </c>
      <c r="F80" s="62"/>
      <c r="G80" s="63"/>
      <c r="H80" s="310">
        <f>IF(OR(AND(I81&gt;0,H81&lt;&gt;"Y"),AND(I82&gt;0,H82&lt;&gt;"Y")),CONCATENATE("Mark ",CHAR(34),"Any Flag Up",CHAR(34)),"")</f>
      </c>
      <c r="I80" s="310"/>
      <c r="J80" s="310">
        <f>IF(OR((AND(J81="y",K81="y")),(AND(J82="y",K82="y"))),"Too Many Artifacts","")</f>
      </c>
      <c r="K80" s="310"/>
      <c r="L80" s="310">
        <f>IF(AND(L81="Y",L82="Y"),"Too Many Dolphins","")</f>
      </c>
      <c r="M80" s="310"/>
      <c r="N80" s="310">
        <f>IF(OR((AND(N81="y",O81="y")),(AND(N82="y",O82="y"))),"Only 1 Sub","")</f>
      </c>
      <c r="O80" s="310"/>
      <c r="P80" s="64"/>
      <c r="Q80" s="65"/>
      <c r="R80" s="310">
        <f>IF(OR(R81+S81&gt;8,R82+S82&gt;8),"Too Many Crates","")</f>
      </c>
      <c r="S80" s="310"/>
    </row>
    <row r="81" spans="1:19" s="16" customFormat="1" ht="24.75" customHeight="1" thickBot="1">
      <c r="A81" s="47">
        <f>A78+1</f>
        <v>25</v>
      </c>
      <c r="B81" s="48">
        <v>1</v>
      </c>
      <c r="C81" s="66"/>
      <c r="D81" s="67"/>
      <c r="E81" s="68">
        <f>IF(NOT(OR(AND($H81&lt;&gt;"Y",$I81&gt;0),AND($J81="Y",$K81="Y"),AND($L81="Y",$L82="Y"),AND($N81="Y",$O81="Y"),OR($R81+$S81&gt;8,$R81+$S81&lt;0))),(IF(F81="y",$F$4,0))+(IF(P81="y",$P$4,0))+(IF(G81="y",$G$4,0))+(IF(H81="y",$H$4,0))+IF(AND(J81="Y",K81="Y"),0,((IF(J81="y",$J$4,0))+(IF(K81="y",$K$4,0))))+(IF(L81="y",$L$4,0))+(IF(M81="y",$M$4,0))+IF(AND(N81="Y",O81="Y"),0,(IF(N81="y",$N$4,0))+(IF(O81="y",$O$4,0)))+(IF(Q81="y",$Q$4,0))+IF((R81+S81&lt;=8),(IF((0&lt;R81)*(R81&lt;=8),R81*2,0))+(IF((0&lt;S81)*(S81&lt;=8),S81*5,0)),0)+IF((I81&lt;=3)*(I81&gt;=0),I81*15,0),"Error")</f>
        <v>0</v>
      </c>
      <c r="F81" s="53"/>
      <c r="G81" s="53"/>
      <c r="H81" s="53"/>
      <c r="I81" s="53"/>
      <c r="J81" s="53"/>
      <c r="K81" s="53"/>
      <c r="L81" s="53"/>
      <c r="M81" s="53"/>
      <c r="N81" s="53"/>
      <c r="O81" s="53"/>
      <c r="P81" s="53"/>
      <c r="Q81" s="53"/>
      <c r="R81" s="53"/>
      <c r="S81" s="53"/>
    </row>
    <row r="82" spans="1:19" s="16" customFormat="1" ht="24.75" customHeight="1" thickBot="1">
      <c r="A82" s="54"/>
      <c r="B82" s="56">
        <v>2</v>
      </c>
      <c r="C82" s="69"/>
      <c r="D82" s="67"/>
      <c r="E82" s="68">
        <f>IF(NOT(OR(AND($H82&lt;&gt;"Y",$I82&gt;0),AND($J82="Y",$K82="Y"),AND($L82="Y",$L81="Y"),AND($N82="Y",$O82="Y"),OR($R82+$S82&gt;8,$R82+$S82&lt;0))),(IF(F82="y",$F$4,0))+(IF(P82="y",$P$4,0))+(IF(G82="y",$G$4,0))+(IF(H82="y",$H$4,0))+IF(AND(J82="Y",K82="Y"),0,((IF(J82="y",$J$4,0))+(IF(K82="y",$K$4,0))))+(IF(L82="y",$L$4,0))+(IF(M82="y",$M$4,0))+IF(AND(N82="Y",O82="Y"),0,(IF(N82="y",$N$4,0))+(IF(O82="y",$O$4,0)))+(IF(Q82="y",$Q$4,0))+IF((R82+S82&lt;=8),(IF((0&lt;R82)*(R82&lt;=8),R82*2,0))+(IF((0&lt;S82)*(S82&lt;=8),S82*5,0)),0)+IF((I82&lt;=3)*(I82&gt;=0),I82*15,0),"Error")</f>
        <v>0</v>
      </c>
      <c r="F82" s="53"/>
      <c r="G82" s="53"/>
      <c r="H82" s="53"/>
      <c r="I82" s="53"/>
      <c r="J82" s="53"/>
      <c r="K82" s="53"/>
      <c r="L82" s="53"/>
      <c r="M82" s="53"/>
      <c r="N82" s="53"/>
      <c r="O82" s="53"/>
      <c r="P82" s="53"/>
      <c r="Q82" s="53"/>
      <c r="R82" s="53"/>
      <c r="S82" s="53"/>
    </row>
    <row r="83" spans="1:19" s="16" customFormat="1" ht="17.25" customHeight="1" thickBot="1">
      <c r="A83" s="39" t="s">
        <v>36</v>
      </c>
      <c r="B83" s="60" t="s">
        <v>37</v>
      </c>
      <c r="C83" s="60" t="s">
        <v>38</v>
      </c>
      <c r="D83" s="61" t="s">
        <v>39</v>
      </c>
      <c r="E83" s="42">
        <f>IF(OR(J83&lt;&gt;"",N83&lt;&gt;"",R83&lt;&gt;"",L83&lt;&gt;"",H83&lt;&gt;""),"Error","")</f>
      </c>
      <c r="F83" s="62"/>
      <c r="G83" s="63"/>
      <c r="H83" s="310">
        <f>IF(OR(AND(I84&gt;0,H84&lt;&gt;"Y"),AND(I85&gt;0,H85&lt;&gt;"Y")),CONCATENATE("Mark ",CHAR(34),"Any Flag Up",CHAR(34)),"")</f>
      </c>
      <c r="I83" s="310"/>
      <c r="J83" s="310">
        <f>IF(OR((AND(J84="y",K84="y")),(AND(J85="y",K85="y"))),"Too Many Artifacts","")</f>
      </c>
      <c r="K83" s="310"/>
      <c r="L83" s="310">
        <f>IF(AND(L84="Y",L85="Y"),"Too Many Dolphins","")</f>
      </c>
      <c r="M83" s="310"/>
      <c r="N83" s="310">
        <f>IF(OR((AND(N84="y",O84="y")),(AND(N85="y",O85="y"))),"Only 1 Sub","")</f>
      </c>
      <c r="O83" s="310"/>
      <c r="P83" s="64"/>
      <c r="Q83" s="65"/>
      <c r="R83" s="310">
        <f>IF(OR(R84+S84&gt;8,R85+S85&gt;8),"Too Many Crates","")</f>
      </c>
      <c r="S83" s="310"/>
    </row>
    <row r="84" spans="1:19" s="16" customFormat="1" ht="24.75" customHeight="1" thickBot="1">
      <c r="A84" s="47">
        <f>A81+1</f>
        <v>26</v>
      </c>
      <c r="B84" s="48">
        <v>1</v>
      </c>
      <c r="C84" s="66"/>
      <c r="D84" s="67"/>
      <c r="E84" s="68">
        <f>IF(NOT(OR(AND($H84&lt;&gt;"Y",$I84&gt;0),AND($J84="Y",$K84="Y"),AND($L84="Y",$L85="Y"),AND($N84="Y",$O84="Y"),OR($R84+$S84&gt;8,$R84+$S84&lt;0))),(IF(F84="y",$F$4,0))+(IF(P84="y",$P$4,0))+(IF(G84="y",$G$4,0))+(IF(H84="y",$H$4,0))+IF(AND(J84="Y",K84="Y"),0,((IF(J84="y",$J$4,0))+(IF(K84="y",$K$4,0))))+(IF(L84="y",$L$4,0))+(IF(M84="y",$M$4,0))+IF(AND(N84="Y",O84="Y"),0,(IF(N84="y",$N$4,0))+(IF(O84="y",$O$4,0)))+(IF(Q84="y",$Q$4,0))+IF((R84+S84&lt;=8),(IF((0&lt;R84)*(R84&lt;=8),R84*2,0))+(IF((0&lt;S84)*(S84&lt;=8),S84*5,0)),0)+IF((I84&lt;=3)*(I84&gt;=0),I84*15,0),"Error")</f>
        <v>0</v>
      </c>
      <c r="F84" s="53"/>
      <c r="G84" s="53"/>
      <c r="H84" s="53"/>
      <c r="I84" s="53"/>
      <c r="J84" s="53"/>
      <c r="K84" s="53"/>
      <c r="L84" s="53"/>
      <c r="M84" s="53"/>
      <c r="N84" s="53"/>
      <c r="O84" s="53"/>
      <c r="P84" s="53"/>
      <c r="Q84" s="53"/>
      <c r="R84" s="53"/>
      <c r="S84" s="53"/>
    </row>
    <row r="85" spans="1:19" s="16" customFormat="1" ht="24.75" customHeight="1" thickBot="1">
      <c r="A85" s="54"/>
      <c r="B85" s="56">
        <v>2</v>
      </c>
      <c r="C85" s="69"/>
      <c r="D85" s="67"/>
      <c r="E85" s="68">
        <f>IF(NOT(OR(AND($H85&lt;&gt;"Y",$I85&gt;0),AND($J85="Y",$K85="Y"),AND($L85="Y",$L84="Y"),AND($N85="Y",$O85="Y"),OR($R85+$S85&gt;8,$R85+$S85&lt;0))),(IF(F85="y",$F$4,0))+(IF(P85="y",$P$4,0))+(IF(G85="y",$G$4,0))+(IF(H85="y",$H$4,0))+IF(AND(J85="Y",K85="Y"),0,((IF(J85="y",$J$4,0))+(IF(K85="y",$K$4,0))))+(IF(L85="y",$L$4,0))+(IF(M85="y",$M$4,0))+IF(AND(N85="Y",O85="Y"),0,(IF(N85="y",$N$4,0))+(IF(O85="y",$O$4,0)))+(IF(Q85="y",$Q$4,0))+IF((R85+S85&lt;=8),(IF((0&lt;R85)*(R85&lt;=8),R85*2,0))+(IF((0&lt;S85)*(S85&lt;=8),S85*5,0)),0)+IF((I85&lt;=3)*(I85&gt;=0),I85*15,0),"Error")</f>
        <v>0</v>
      </c>
      <c r="F85" s="53"/>
      <c r="G85" s="53"/>
      <c r="H85" s="53"/>
      <c r="I85" s="53"/>
      <c r="J85" s="53"/>
      <c r="K85" s="53"/>
      <c r="L85" s="53"/>
      <c r="M85" s="53"/>
      <c r="N85" s="53"/>
      <c r="O85" s="53"/>
      <c r="P85" s="53"/>
      <c r="Q85" s="53"/>
      <c r="R85" s="53"/>
      <c r="S85" s="53"/>
    </row>
    <row r="86" spans="1:19" s="16" customFormat="1" ht="17.25" customHeight="1" thickBot="1">
      <c r="A86" s="39" t="s">
        <v>36</v>
      </c>
      <c r="B86" s="60" t="s">
        <v>37</v>
      </c>
      <c r="C86" s="60" t="s">
        <v>38</v>
      </c>
      <c r="D86" s="61" t="s">
        <v>39</v>
      </c>
      <c r="E86" s="42">
        <f>IF(OR(J86&lt;&gt;"",N86&lt;&gt;"",R86&lt;&gt;"",L86&lt;&gt;"",H86&lt;&gt;""),"Error","")</f>
      </c>
      <c r="F86" s="62"/>
      <c r="G86" s="63"/>
      <c r="H86" s="310">
        <f>IF(OR(AND(I87&gt;0,H87&lt;&gt;"Y"),AND(I88&gt;0,H88&lt;&gt;"Y")),CONCATENATE("Mark ",CHAR(34),"Any Flag Up",CHAR(34)),"")</f>
      </c>
      <c r="I86" s="310"/>
      <c r="J86" s="310">
        <f>IF(OR((AND(J87="y",K87="y")),(AND(J88="y",K88="y"))),"Too Many Artifacts","")</f>
      </c>
      <c r="K86" s="310"/>
      <c r="L86" s="310">
        <f>IF(AND(L87="Y",L88="Y"),"Too Many Dolphins","")</f>
      </c>
      <c r="M86" s="310"/>
      <c r="N86" s="310">
        <f>IF(OR((AND(N87="y",O87="y")),(AND(N88="y",O88="y"))),"Only 1 Sub","")</f>
      </c>
      <c r="O86" s="310"/>
      <c r="P86" s="64"/>
      <c r="Q86" s="65"/>
      <c r="R86" s="310">
        <f>IF(OR(R87+S87&gt;8,R88+S88&gt;8),"Too Many Crates","")</f>
      </c>
      <c r="S86" s="310"/>
    </row>
    <row r="87" spans="1:19" s="16" customFormat="1" ht="24.75" customHeight="1" thickBot="1">
      <c r="A87" s="47">
        <f>A84+1</f>
        <v>27</v>
      </c>
      <c r="B87" s="48">
        <v>1</v>
      </c>
      <c r="C87" s="66"/>
      <c r="D87" s="67"/>
      <c r="E87" s="68">
        <f>IF(NOT(OR(AND($H87&lt;&gt;"Y",$I87&gt;0),AND($J87="Y",$K87="Y"),AND($L87="Y",$L88="Y"),AND($N87="Y",$O87="Y"),OR($R87+$S87&gt;8,$R87+$S87&lt;0))),(IF(F87="y",$F$4,0))+(IF(P87="y",$P$4,0))+(IF(G87="y",$G$4,0))+(IF(H87="y",$H$4,0))+IF(AND(J87="Y",K87="Y"),0,((IF(J87="y",$J$4,0))+(IF(K87="y",$K$4,0))))+(IF(L87="y",$L$4,0))+(IF(M87="y",$M$4,0))+IF(AND(N87="Y",O87="Y"),0,(IF(N87="y",$N$4,0))+(IF(O87="y",$O$4,0)))+(IF(Q87="y",$Q$4,0))+IF((R87+S87&lt;=8),(IF((0&lt;R87)*(R87&lt;=8),R87*2,0))+(IF((0&lt;S87)*(S87&lt;=8),S87*5,0)),0)+IF((I87&lt;=3)*(I87&gt;=0),I87*15,0),"Error")</f>
        <v>0</v>
      </c>
      <c r="F87" s="53"/>
      <c r="G87" s="53"/>
      <c r="H87" s="53"/>
      <c r="I87" s="53"/>
      <c r="J87" s="53"/>
      <c r="K87" s="53"/>
      <c r="L87" s="53"/>
      <c r="M87" s="53"/>
      <c r="N87" s="53"/>
      <c r="O87" s="53"/>
      <c r="P87" s="53"/>
      <c r="Q87" s="53"/>
      <c r="R87" s="53"/>
      <c r="S87" s="53"/>
    </row>
    <row r="88" spans="1:19" s="16" customFormat="1" ht="24.75" customHeight="1" thickBot="1">
      <c r="A88" s="54"/>
      <c r="B88" s="56">
        <v>2</v>
      </c>
      <c r="C88" s="69"/>
      <c r="D88" s="67"/>
      <c r="E88" s="68">
        <f>IF(NOT(OR(AND($H88&lt;&gt;"Y",$I88&gt;0),AND($J88="Y",$K88="Y"),AND($L88="Y",$L87="Y"),AND($N88="Y",$O88="Y"),OR($R88+$S88&gt;8,$R88+$S88&lt;0))),(IF(F88="y",$F$4,0))+(IF(P88="y",$P$4,0))+(IF(G88="y",$G$4,0))+(IF(H88="y",$H$4,0))+IF(AND(J88="Y",K88="Y"),0,((IF(J88="y",$J$4,0))+(IF(K88="y",$K$4,0))))+(IF(L88="y",$L$4,0))+(IF(M88="y",$M$4,0))+IF(AND(N88="Y",O88="Y"),0,(IF(N88="y",$N$4,0))+(IF(O88="y",$O$4,0)))+(IF(Q88="y",$Q$4,0))+IF((R88+S88&lt;=8),(IF((0&lt;R88)*(R88&lt;=8),R88*2,0))+(IF((0&lt;S88)*(S88&lt;=8),S88*5,0)),0)+IF((I88&lt;=3)*(I88&gt;=0),I88*15,0),"Error")</f>
        <v>0</v>
      </c>
      <c r="F88" s="53"/>
      <c r="G88" s="53"/>
      <c r="H88" s="53"/>
      <c r="I88" s="53"/>
      <c r="J88" s="53"/>
      <c r="K88" s="53"/>
      <c r="L88" s="53"/>
      <c r="M88" s="53"/>
      <c r="N88" s="53"/>
      <c r="O88" s="53"/>
      <c r="P88" s="53"/>
      <c r="Q88" s="53"/>
      <c r="R88" s="53"/>
      <c r="S88" s="53"/>
    </row>
    <row r="89" spans="1:19" s="16" customFormat="1" ht="17.25" customHeight="1" thickBot="1">
      <c r="A89" s="39" t="s">
        <v>36</v>
      </c>
      <c r="B89" s="60" t="s">
        <v>37</v>
      </c>
      <c r="C89" s="60" t="s">
        <v>38</v>
      </c>
      <c r="D89" s="61" t="s">
        <v>39</v>
      </c>
      <c r="E89" s="42">
        <f>IF(OR(J89&lt;&gt;"",N89&lt;&gt;"",R89&lt;&gt;"",L89&lt;&gt;"",H89&lt;&gt;""),"Error","")</f>
      </c>
      <c r="F89" s="62"/>
      <c r="G89" s="63"/>
      <c r="H89" s="310">
        <f>IF(OR(AND(I90&gt;0,H90&lt;&gt;"Y"),AND(I91&gt;0,H91&lt;&gt;"Y")),CONCATENATE("Mark ",CHAR(34),"Any Flag Up",CHAR(34)),"")</f>
      </c>
      <c r="I89" s="310"/>
      <c r="J89" s="310">
        <f>IF(OR((AND(J90="y",K90="y")),(AND(J91="y",K91="y"))),"Too Many Artifacts","")</f>
      </c>
      <c r="K89" s="310"/>
      <c r="L89" s="310">
        <f>IF(AND(L90="Y",L91="Y"),"Too Many Dolphins","")</f>
      </c>
      <c r="M89" s="310"/>
      <c r="N89" s="310">
        <f>IF(OR((AND(N90="y",O90="y")),(AND(N91="y",O91="y"))),"Only 1 Sub","")</f>
      </c>
      <c r="O89" s="310"/>
      <c r="P89" s="64"/>
      <c r="Q89" s="65"/>
      <c r="R89" s="310">
        <f>IF(OR(R90+S90&gt;8,R91+S91&gt;8),"Too Many Crates","")</f>
      </c>
      <c r="S89" s="310"/>
    </row>
    <row r="90" spans="1:19" s="16" customFormat="1" ht="24.75" customHeight="1" thickBot="1">
      <c r="A90" s="47">
        <f>A87+1</f>
        <v>28</v>
      </c>
      <c r="B90" s="48">
        <v>1</v>
      </c>
      <c r="C90" s="66"/>
      <c r="D90" s="67"/>
      <c r="E90" s="68">
        <f>IF(NOT(OR(AND($H90&lt;&gt;"Y",$I90&gt;0),AND($J90="Y",$K90="Y"),AND($L90="Y",$L91="Y"),AND($N90="Y",$O90="Y"),OR($R90+$S90&gt;8,$R90+$S90&lt;0))),(IF(F90="y",$F$4,0))+(IF(P90="y",$P$4,0))+(IF(G90="y",$G$4,0))+(IF(H90="y",$H$4,0))+IF(AND(J90="Y",K90="Y"),0,((IF(J90="y",$J$4,0))+(IF(K90="y",$K$4,0))))+(IF(L90="y",$L$4,0))+(IF(M90="y",$M$4,0))+IF(AND(N90="Y",O90="Y"),0,(IF(N90="y",$N$4,0))+(IF(O90="y",$O$4,0)))+(IF(Q90="y",$Q$4,0))+IF((R90+S90&lt;=8),(IF((0&lt;R90)*(R90&lt;=8),R90*2,0))+(IF((0&lt;S90)*(S90&lt;=8),S90*5,0)),0)+IF((I90&lt;=3)*(I90&gt;=0),I90*15,0),"Error")</f>
        <v>0</v>
      </c>
      <c r="F90" s="53"/>
      <c r="G90" s="53"/>
      <c r="H90" s="53"/>
      <c r="I90" s="53"/>
      <c r="J90" s="53"/>
      <c r="K90" s="53"/>
      <c r="L90" s="53"/>
      <c r="M90" s="53"/>
      <c r="N90" s="53"/>
      <c r="O90" s="53"/>
      <c r="P90" s="53"/>
      <c r="Q90" s="53"/>
      <c r="R90" s="53"/>
      <c r="S90" s="53"/>
    </row>
    <row r="91" spans="1:19" s="16" customFormat="1" ht="24.75" customHeight="1" thickBot="1">
      <c r="A91" s="54"/>
      <c r="B91" s="56">
        <v>2</v>
      </c>
      <c r="C91" s="69"/>
      <c r="D91" s="67"/>
      <c r="E91" s="68">
        <f>IF(NOT(OR(AND($H91&lt;&gt;"Y",$I91&gt;0),AND($J91="Y",$K91="Y"),AND($L91="Y",$L90="Y"),AND($N91="Y",$O91="Y"),OR($R91+$S91&gt;8,$R91+$S91&lt;0))),(IF(F91="y",$F$4,0))+(IF(P91="y",$P$4,0))+(IF(G91="y",$G$4,0))+(IF(H91="y",$H$4,0))+IF(AND(J91="Y",K91="Y"),0,((IF(J91="y",$J$4,0))+(IF(K91="y",$K$4,0))))+(IF(L91="y",$L$4,0))+(IF(M91="y",$M$4,0))+IF(AND(N91="Y",O91="Y"),0,(IF(N91="y",$N$4,0))+(IF(O91="y",$O$4,0)))+(IF(Q91="y",$Q$4,0))+IF((R91+S91&lt;=8),(IF((0&lt;R91)*(R91&lt;=8),R91*2,0))+(IF((0&lt;S91)*(S91&lt;=8),S91*5,0)),0)+IF((I91&lt;=3)*(I91&gt;=0),I91*15,0),"Error")</f>
        <v>0</v>
      </c>
      <c r="F91" s="53"/>
      <c r="G91" s="53"/>
      <c r="H91" s="53"/>
      <c r="I91" s="53"/>
      <c r="J91" s="53"/>
      <c r="K91" s="53"/>
      <c r="L91" s="53"/>
      <c r="M91" s="53"/>
      <c r="N91" s="53"/>
      <c r="O91" s="53"/>
      <c r="P91" s="53"/>
      <c r="Q91" s="53"/>
      <c r="R91" s="53"/>
      <c r="S91" s="53"/>
    </row>
    <row r="92" spans="1:19" s="16" customFormat="1" ht="17.25" customHeight="1" thickBot="1">
      <c r="A92" s="39" t="s">
        <v>36</v>
      </c>
      <c r="B92" s="60" t="s">
        <v>37</v>
      </c>
      <c r="C92" s="60" t="s">
        <v>38</v>
      </c>
      <c r="D92" s="61" t="s">
        <v>39</v>
      </c>
      <c r="E92" s="42">
        <f>IF(OR(J92&lt;&gt;"",N92&lt;&gt;"",R92&lt;&gt;"",L92&lt;&gt;"",H92&lt;&gt;""),"Error","")</f>
      </c>
      <c r="F92" s="62"/>
      <c r="G92" s="63"/>
      <c r="H92" s="310">
        <f>IF(OR(AND(I93&gt;0,H93&lt;&gt;"Y"),AND(I94&gt;0,H94&lt;&gt;"Y")),CONCATENATE("Mark ",CHAR(34),"Any Flag Up",CHAR(34)),"")</f>
      </c>
      <c r="I92" s="310"/>
      <c r="J92" s="310">
        <f>IF(OR((AND(J93="y",K93="y")),(AND(J94="y",K94="y"))),"Too Many Artifacts","")</f>
      </c>
      <c r="K92" s="310"/>
      <c r="L92" s="310">
        <f>IF(AND(L93="Y",L94="Y"),"Too Many Dolphins","")</f>
      </c>
      <c r="M92" s="310"/>
      <c r="N92" s="310">
        <f>IF(OR((AND(N93="y",O93="y")),(AND(N94="y",O94="y"))),"Only 1 Sub","")</f>
      </c>
      <c r="O92" s="310"/>
      <c r="P92" s="64"/>
      <c r="Q92" s="65"/>
      <c r="R92" s="310">
        <f>IF(OR(R93+S93&gt;8,R94+S94&gt;8),"Too Many Crates","")</f>
      </c>
      <c r="S92" s="310"/>
    </row>
    <row r="93" spans="1:19" s="16" customFormat="1" ht="24.75" customHeight="1" thickBot="1">
      <c r="A93" s="47">
        <f>A90+1</f>
        <v>29</v>
      </c>
      <c r="B93" s="48">
        <v>1</v>
      </c>
      <c r="C93" s="66"/>
      <c r="D93" s="67"/>
      <c r="E93" s="68">
        <f>IF(NOT(OR(AND($H93&lt;&gt;"Y",$I93&gt;0),AND($J93="Y",$K93="Y"),AND($L93="Y",$L94="Y"),AND($N93="Y",$O93="Y"),OR($R93+$S93&gt;8,$R93+$S93&lt;0))),(IF(F93="y",$F$4,0))+(IF(P93="y",$P$4,0))+(IF(G93="y",$G$4,0))+(IF(H93="y",$H$4,0))+IF(AND(J93="Y",K93="Y"),0,((IF(J93="y",$J$4,0))+(IF(K93="y",$K$4,0))))+(IF(L93="y",$L$4,0))+(IF(M93="y",$M$4,0))+IF(AND(N93="Y",O93="Y"),0,(IF(N93="y",$N$4,0))+(IF(O93="y",$O$4,0)))+(IF(Q93="y",$Q$4,0))+IF((R93+S93&lt;=8),(IF((0&lt;R93)*(R93&lt;=8),R93*2,0))+(IF((0&lt;S93)*(S93&lt;=8),S93*5,0)),0)+IF((I93&lt;=3)*(I93&gt;=0),I93*15,0),"Error")</f>
        <v>0</v>
      </c>
      <c r="F93" s="53"/>
      <c r="G93" s="53"/>
      <c r="H93" s="53"/>
      <c r="I93" s="53"/>
      <c r="J93" s="53"/>
      <c r="K93" s="53"/>
      <c r="L93" s="53"/>
      <c r="M93" s="53"/>
      <c r="N93" s="53"/>
      <c r="O93" s="53"/>
      <c r="P93" s="53"/>
      <c r="Q93" s="53"/>
      <c r="R93" s="53"/>
      <c r="S93" s="53"/>
    </row>
    <row r="94" spans="1:19" s="16" customFormat="1" ht="24.75" customHeight="1" thickBot="1">
      <c r="A94" s="54"/>
      <c r="B94" s="56">
        <v>2</v>
      </c>
      <c r="C94" s="69"/>
      <c r="D94" s="67"/>
      <c r="E94" s="68">
        <f>IF(NOT(OR(AND($H94&lt;&gt;"Y",$I94&gt;0),AND($J94="Y",$K94="Y"),AND($L94="Y",$L93="Y"),AND($N94="Y",$O94="Y"),OR($R94+$S94&gt;8,$R94+$S94&lt;0))),(IF(F94="y",$F$4,0))+(IF(P94="y",$P$4,0))+(IF(G94="y",$G$4,0))+(IF(H94="y",$H$4,0))+IF(AND(J94="Y",K94="Y"),0,((IF(J94="y",$J$4,0))+(IF(K94="y",$K$4,0))))+(IF(L94="y",$L$4,0))+(IF(M94="y",$M$4,0))+IF(AND(N94="Y",O94="Y"),0,(IF(N94="y",$N$4,0))+(IF(O94="y",$O$4,0)))+(IF(Q94="y",$Q$4,0))+IF((R94+S94&lt;=8),(IF((0&lt;R94)*(R94&lt;=8),R94*2,0))+(IF((0&lt;S94)*(S94&lt;=8),S94*5,0)),0)+IF((I94&lt;=3)*(I94&gt;=0),I94*15,0),"Error")</f>
        <v>0</v>
      </c>
      <c r="F94" s="53"/>
      <c r="G94" s="53"/>
      <c r="H94" s="53"/>
      <c r="I94" s="53"/>
      <c r="J94" s="53"/>
      <c r="K94" s="53"/>
      <c r="L94" s="53"/>
      <c r="M94" s="53"/>
      <c r="N94" s="53"/>
      <c r="O94" s="53"/>
      <c r="P94" s="53"/>
      <c r="Q94" s="53"/>
      <c r="R94" s="53"/>
      <c r="S94" s="53"/>
    </row>
    <row r="95" spans="1:19" s="16" customFormat="1" ht="17.25" customHeight="1" thickBot="1">
      <c r="A95" s="39" t="s">
        <v>36</v>
      </c>
      <c r="B95" s="60" t="s">
        <v>37</v>
      </c>
      <c r="C95" s="60" t="s">
        <v>38</v>
      </c>
      <c r="D95" s="61" t="s">
        <v>39</v>
      </c>
      <c r="E95" s="42">
        <f>IF(OR(J95&lt;&gt;"",N95&lt;&gt;"",R95&lt;&gt;"",L95&lt;&gt;"",H95&lt;&gt;""),"Error","")</f>
      </c>
      <c r="F95" s="62"/>
      <c r="G95" s="63"/>
      <c r="H95" s="310">
        <f>IF(OR(AND(I96&gt;0,H96&lt;&gt;"Y"),AND(I97&gt;0,H97&lt;&gt;"Y")),CONCATENATE("Mark ",CHAR(34),"Any Flag Up",CHAR(34)),"")</f>
      </c>
      <c r="I95" s="310"/>
      <c r="J95" s="310">
        <f>IF(OR((AND(J96="y",K96="y")),(AND(J97="y",K97="y"))),"Too Many Artifacts","")</f>
      </c>
      <c r="K95" s="310"/>
      <c r="L95" s="310">
        <f>IF(AND(L96="Y",L97="Y"),"Too Many Dolphins","")</f>
      </c>
      <c r="M95" s="310"/>
      <c r="N95" s="310">
        <f>IF(OR((AND(N96="y",O96="y")),(AND(N97="y",O97="y"))),"Only 1 Sub","")</f>
      </c>
      <c r="O95" s="310"/>
      <c r="P95" s="64"/>
      <c r="Q95" s="65"/>
      <c r="R95" s="310">
        <f>IF(OR(R96+S96&gt;8,R97+S97&gt;8),"Too Many Crates","")</f>
      </c>
      <c r="S95" s="310"/>
    </row>
    <row r="96" spans="1:19" s="16" customFormat="1" ht="24.75" customHeight="1" thickBot="1">
      <c r="A96" s="47">
        <f>A93+1</f>
        <v>30</v>
      </c>
      <c r="B96" s="48">
        <v>1</v>
      </c>
      <c r="C96" s="66"/>
      <c r="D96" s="67"/>
      <c r="E96" s="68">
        <f>IF(NOT(OR(AND($H96&lt;&gt;"Y",$I96&gt;0),AND($J96="Y",$K96="Y"),AND($L96="Y",$L97="Y"),AND($N96="Y",$O96="Y"),OR($R96+$S96&gt;8,$R96+$S96&lt;0))),(IF(F96="y",$F$4,0))+(IF(P96="y",$P$4,0))+(IF(G96="y",$G$4,0))+(IF(H96="y",$H$4,0))+IF(AND(J96="Y",K96="Y"),0,((IF(J96="y",$J$4,0))+(IF(K96="y",$K$4,0))))+(IF(L96="y",$L$4,0))+(IF(M96="y",$M$4,0))+IF(AND(N96="Y",O96="Y"),0,(IF(N96="y",$N$4,0))+(IF(O96="y",$O$4,0)))+(IF(Q96="y",$Q$4,0))+IF((R96+S96&lt;=8),(IF((0&lt;R96)*(R96&lt;=8),R96*2,0))+(IF((0&lt;S96)*(S96&lt;=8),S96*5,0)),0)+IF((I96&lt;=3)*(I96&gt;=0),I96*15,0),"Error")</f>
        <v>0</v>
      </c>
      <c r="F96" s="53"/>
      <c r="G96" s="53"/>
      <c r="H96" s="53"/>
      <c r="I96" s="53"/>
      <c r="J96" s="53"/>
      <c r="K96" s="53"/>
      <c r="L96" s="53"/>
      <c r="M96" s="53"/>
      <c r="N96" s="53"/>
      <c r="O96" s="53"/>
      <c r="P96" s="53"/>
      <c r="Q96" s="53"/>
      <c r="R96" s="53"/>
      <c r="S96" s="53"/>
    </row>
    <row r="97" spans="1:19" s="16" customFormat="1" ht="24.75" customHeight="1" thickBot="1">
      <c r="A97" s="54"/>
      <c r="B97" s="56">
        <v>2</v>
      </c>
      <c r="C97" s="69"/>
      <c r="D97" s="67"/>
      <c r="E97" s="68">
        <f>IF(NOT(OR(AND($H97&lt;&gt;"Y",$I97&gt;0),AND($J97="Y",$K97="Y"),AND($L97="Y",$L96="Y"),AND($N97="Y",$O97="Y"),OR($R97+$S97&gt;8,$R97+$S97&lt;0))),(IF(F97="y",$F$4,0))+(IF(P97="y",$P$4,0))+(IF(G97="y",$G$4,0))+(IF(H97="y",$H$4,0))+IF(AND(J97="Y",K97="Y"),0,((IF(J97="y",$J$4,0))+(IF(K97="y",$K$4,0))))+(IF(L97="y",$L$4,0))+(IF(M97="y",$M$4,0))+IF(AND(N97="Y",O97="Y"),0,(IF(N97="y",$N$4,0))+(IF(O97="y",$O$4,0)))+(IF(Q97="y",$Q$4,0))+IF((R97+S97&lt;=8),(IF((0&lt;R97)*(R97&lt;=8),R97*2,0))+(IF((0&lt;S97)*(S97&lt;=8),S97*5,0)),0)+IF((I97&lt;=3)*(I97&gt;=0),I97*15,0),"Error")</f>
        <v>0</v>
      </c>
      <c r="F97" s="53"/>
      <c r="G97" s="53"/>
      <c r="H97" s="53"/>
      <c r="I97" s="53"/>
      <c r="J97" s="53"/>
      <c r="K97" s="53"/>
      <c r="L97" s="53"/>
      <c r="M97" s="53"/>
      <c r="N97" s="53"/>
      <c r="O97" s="53"/>
      <c r="P97" s="53"/>
      <c r="Q97" s="53"/>
      <c r="R97" s="53"/>
      <c r="S97" s="53"/>
    </row>
    <row r="98" spans="1:19" s="16" customFormat="1" ht="17.25" customHeight="1" thickBot="1">
      <c r="A98" s="39" t="s">
        <v>36</v>
      </c>
      <c r="B98" s="60" t="s">
        <v>37</v>
      </c>
      <c r="C98" s="60" t="s">
        <v>38</v>
      </c>
      <c r="D98" s="61" t="s">
        <v>39</v>
      </c>
      <c r="E98" s="42">
        <f>IF(OR(J98&lt;&gt;"",N98&lt;&gt;"",R98&lt;&gt;"",L98&lt;&gt;"",H98&lt;&gt;""),"Error","")</f>
      </c>
      <c r="F98" s="62"/>
      <c r="G98" s="63"/>
      <c r="H98" s="310">
        <f>IF(OR(AND(I99&gt;0,H99&lt;&gt;"Y"),AND(I100&gt;0,H100&lt;&gt;"Y")),CONCATENATE("Mark ",CHAR(34),"Any Flag Up",CHAR(34)),"")</f>
      </c>
      <c r="I98" s="310"/>
      <c r="J98" s="310">
        <f>IF(OR((AND(J99="y",K99="y")),(AND(J100="y",K100="y"))),"Too Many Artifacts","")</f>
      </c>
      <c r="K98" s="310"/>
      <c r="L98" s="310">
        <f>IF(AND(L99="Y",L100="Y"),"Too Many Dolphins","")</f>
      </c>
      <c r="M98" s="310"/>
      <c r="N98" s="310">
        <f>IF(OR((AND(N99="y",O99="y")),(AND(N100="y",O100="y"))),"Only 1 Sub","")</f>
      </c>
      <c r="O98" s="310"/>
      <c r="P98" s="64"/>
      <c r="Q98" s="65"/>
      <c r="R98" s="310">
        <f>IF(OR(R99+S99&gt;8,R100+S100&gt;8),"Too Many Crates","")</f>
      </c>
      <c r="S98" s="310"/>
    </row>
    <row r="99" spans="1:19" s="16" customFormat="1" ht="24.75" customHeight="1" thickBot="1">
      <c r="A99" s="47">
        <f>A96+1</f>
        <v>31</v>
      </c>
      <c r="B99" s="48">
        <v>1</v>
      </c>
      <c r="C99" s="66"/>
      <c r="D99" s="67"/>
      <c r="E99" s="68">
        <f>IF(NOT(OR(AND($H99&lt;&gt;"Y",$I99&gt;0),AND($J99="Y",$K99="Y"),AND($L99="Y",$L100="Y"),AND($N99="Y",$O99="Y"),OR($R99+$S99&gt;8,$R99+$S99&lt;0))),(IF(F99="y",$F$4,0))+(IF(P99="y",$P$4,0))+(IF(G99="y",$G$4,0))+(IF(H99="y",$H$4,0))+IF(AND(J99="Y",K99="Y"),0,((IF(J99="y",$J$4,0))+(IF(K99="y",$K$4,0))))+(IF(L99="y",$L$4,0))+(IF(M99="y",$M$4,0))+IF(AND(N99="Y",O99="Y"),0,(IF(N99="y",$N$4,0))+(IF(O99="y",$O$4,0)))+(IF(Q99="y",$Q$4,0))+IF((R99+S99&lt;=8),(IF((0&lt;R99)*(R99&lt;=8),R99*2,0))+(IF((0&lt;S99)*(S99&lt;=8),S99*5,0)),0)+IF((I99&lt;=3)*(I99&gt;=0),I99*15,0),"Error")</f>
        <v>0</v>
      </c>
      <c r="F99" s="53"/>
      <c r="G99" s="53"/>
      <c r="H99" s="53"/>
      <c r="I99" s="53"/>
      <c r="J99" s="53"/>
      <c r="K99" s="53"/>
      <c r="L99" s="53"/>
      <c r="M99" s="53"/>
      <c r="N99" s="53"/>
      <c r="O99" s="53"/>
      <c r="P99" s="53"/>
      <c r="Q99" s="53"/>
      <c r="R99" s="53"/>
      <c r="S99" s="53"/>
    </row>
    <row r="100" spans="1:19" s="16" customFormat="1" ht="24.75" customHeight="1" thickBot="1">
      <c r="A100" s="54"/>
      <c r="B100" s="56">
        <v>2</v>
      </c>
      <c r="C100" s="69"/>
      <c r="D100" s="67"/>
      <c r="E100" s="68">
        <f>IF(NOT(OR(AND($H100&lt;&gt;"Y",$I100&gt;0),AND($J100="Y",$K100="Y"),AND($L100="Y",$L99="Y"),AND($N100="Y",$O100="Y"),OR($R100+$S100&gt;8,$R100+$S100&lt;0))),(IF(F100="y",$F$4,0))+(IF(P100="y",$P$4,0))+(IF(G100="y",$G$4,0))+(IF(H100="y",$H$4,0))+IF(AND(J100="Y",K100="Y"),0,((IF(J100="y",$J$4,0))+(IF(K100="y",$K$4,0))))+(IF(L100="y",$L$4,0))+(IF(M100="y",$M$4,0))+IF(AND(N100="Y",O100="Y"),0,(IF(N100="y",$N$4,0))+(IF(O100="y",$O$4,0)))+(IF(Q100="y",$Q$4,0))+IF((R100+S100&lt;=8),(IF((0&lt;R100)*(R100&lt;=8),R100*2,0))+(IF((0&lt;S100)*(S100&lt;=8),S100*5,0)),0)+IF((I100&lt;=3)*(I100&gt;=0),I100*15,0),"Error")</f>
        <v>0</v>
      </c>
      <c r="F100" s="53"/>
      <c r="G100" s="53"/>
      <c r="H100" s="53"/>
      <c r="I100" s="53"/>
      <c r="J100" s="53"/>
      <c r="K100" s="53"/>
      <c r="L100" s="53"/>
      <c r="M100" s="53"/>
      <c r="N100" s="53"/>
      <c r="O100" s="53"/>
      <c r="P100" s="53"/>
      <c r="Q100" s="53"/>
      <c r="R100" s="53"/>
      <c r="S100" s="53"/>
    </row>
    <row r="101" spans="1:19" s="16" customFormat="1" ht="17.25" customHeight="1" thickBot="1">
      <c r="A101" s="39" t="s">
        <v>36</v>
      </c>
      <c r="B101" s="60" t="s">
        <v>37</v>
      </c>
      <c r="C101" s="60" t="s">
        <v>38</v>
      </c>
      <c r="D101" s="61" t="s">
        <v>39</v>
      </c>
      <c r="E101" s="42">
        <f>IF(OR(J101&lt;&gt;"",N101&lt;&gt;"",R101&lt;&gt;"",L101&lt;&gt;"",H101&lt;&gt;""),"Error","")</f>
      </c>
      <c r="F101" s="62"/>
      <c r="G101" s="63"/>
      <c r="H101" s="310">
        <f>IF(OR(AND(I102&gt;0,H102&lt;&gt;"Y"),AND(I103&gt;0,H103&lt;&gt;"Y")),CONCATENATE("Mark ",CHAR(34),"Any Flag Up",CHAR(34)),"")</f>
      </c>
      <c r="I101" s="310"/>
      <c r="J101" s="310">
        <f>IF(OR((AND(J102="y",K102="y")),(AND(J103="y",K103="y"))),"Too Many Artifacts","")</f>
      </c>
      <c r="K101" s="310"/>
      <c r="L101" s="310">
        <f>IF(AND(L102="Y",L103="Y"),"Too Many Dolphins","")</f>
      </c>
      <c r="M101" s="310"/>
      <c r="N101" s="310">
        <f>IF(OR((AND(N102="y",O102="y")),(AND(N103="y",O103="y"))),"Only 1 Sub","")</f>
      </c>
      <c r="O101" s="310"/>
      <c r="P101" s="64"/>
      <c r="Q101" s="65"/>
      <c r="R101" s="310">
        <f>IF(OR(R102+S102&gt;8,R103+S103&gt;8),"Too Many Crates","")</f>
      </c>
      <c r="S101" s="310"/>
    </row>
    <row r="102" spans="1:19" s="16" customFormat="1" ht="24.75" customHeight="1" thickBot="1">
      <c r="A102" s="47">
        <f>A99+1</f>
        <v>32</v>
      </c>
      <c r="B102" s="48">
        <v>1</v>
      </c>
      <c r="C102" s="66"/>
      <c r="D102" s="67"/>
      <c r="E102" s="68">
        <f>IF(NOT(OR(AND($H102&lt;&gt;"Y",$I102&gt;0),AND($J102="Y",$K102="Y"),AND($L102="Y",$L103="Y"),AND($N102="Y",$O102="Y"),OR($R102+$S102&gt;8,$R102+$S102&lt;0))),(IF(F102="y",$F$4,0))+(IF(P102="y",$P$4,0))+(IF(G102="y",$G$4,0))+(IF(H102="y",$H$4,0))+IF(AND(J102="Y",K102="Y"),0,((IF(J102="y",$J$4,0))+(IF(K102="y",$K$4,0))))+(IF(L102="y",$L$4,0))+(IF(M102="y",$M$4,0))+IF(AND(N102="Y",O102="Y"),0,(IF(N102="y",$N$4,0))+(IF(O102="y",$O$4,0)))+(IF(Q102="y",$Q$4,0))+IF((R102+S102&lt;=8),(IF((0&lt;R102)*(R102&lt;=8),R102*2,0))+(IF((0&lt;S102)*(S102&lt;=8),S102*5,0)),0)+IF((I102&lt;=3)*(I102&gt;=0),I102*15,0),"Error")</f>
        <v>0</v>
      </c>
      <c r="F102" s="53"/>
      <c r="G102" s="53"/>
      <c r="H102" s="53"/>
      <c r="I102" s="53"/>
      <c r="J102" s="53"/>
      <c r="K102" s="53"/>
      <c r="L102" s="53"/>
      <c r="M102" s="53"/>
      <c r="N102" s="53"/>
      <c r="O102" s="53"/>
      <c r="P102" s="53"/>
      <c r="Q102" s="53"/>
      <c r="R102" s="53"/>
      <c r="S102" s="53"/>
    </row>
    <row r="103" spans="1:19" s="16" customFormat="1" ht="24.75" customHeight="1" thickBot="1">
      <c r="A103" s="54"/>
      <c r="B103" s="56">
        <v>2</v>
      </c>
      <c r="C103" s="69"/>
      <c r="D103" s="67"/>
      <c r="E103" s="68">
        <f>IF(NOT(OR(AND($H103&lt;&gt;"Y",$I103&gt;0),AND($J103="Y",$K103="Y"),AND($L103="Y",$L102="Y"),AND($N103="Y",$O103="Y"),OR($R103+$S103&gt;8,$R103+$S103&lt;0))),(IF(F103="y",$F$4,0))+(IF(P103="y",$P$4,0))+(IF(G103="y",$G$4,0))+(IF(H103="y",$H$4,0))+IF(AND(J103="Y",K103="Y"),0,((IF(J103="y",$J$4,0))+(IF(K103="y",$K$4,0))))+(IF(L103="y",$L$4,0))+(IF(M103="y",$M$4,0))+IF(AND(N103="Y",O103="Y"),0,(IF(N103="y",$N$4,0))+(IF(O103="y",$O$4,0)))+(IF(Q103="y",$Q$4,0))+IF((R103+S103&lt;=8),(IF((0&lt;R103)*(R103&lt;=8),R103*2,0))+(IF((0&lt;S103)*(S103&lt;=8),S103*5,0)),0)+IF((I103&lt;=3)*(I103&gt;=0),I103*15,0),"Error")</f>
        <v>0</v>
      </c>
      <c r="F103" s="53"/>
      <c r="G103" s="53"/>
      <c r="H103" s="53"/>
      <c r="I103" s="53"/>
      <c r="J103" s="53"/>
      <c r="K103" s="53"/>
      <c r="L103" s="53"/>
      <c r="M103" s="53"/>
      <c r="N103" s="53"/>
      <c r="O103" s="53"/>
      <c r="P103" s="53"/>
      <c r="Q103" s="53"/>
      <c r="R103" s="53"/>
      <c r="S103" s="53"/>
    </row>
    <row r="104" spans="1:19" s="16" customFormat="1" ht="17.25" customHeight="1" thickBot="1">
      <c r="A104" s="39" t="s">
        <v>36</v>
      </c>
      <c r="B104" s="60" t="s">
        <v>37</v>
      </c>
      <c r="C104" s="60" t="s">
        <v>38</v>
      </c>
      <c r="D104" s="61" t="s">
        <v>39</v>
      </c>
      <c r="E104" s="42">
        <f>IF(OR(J104&lt;&gt;"",N104&lt;&gt;"",R104&lt;&gt;"",L104&lt;&gt;"",H104&lt;&gt;""),"Error","")</f>
      </c>
      <c r="F104" s="62"/>
      <c r="G104" s="63"/>
      <c r="H104" s="310">
        <f>IF(OR(AND(I105&gt;0,H105&lt;&gt;"Y"),AND(I106&gt;0,H106&lt;&gt;"Y")),CONCATENATE("Mark ",CHAR(34),"Any Flag Up",CHAR(34)),"")</f>
      </c>
      <c r="I104" s="310"/>
      <c r="J104" s="310">
        <f>IF(OR((AND(J105="y",K105="y")),(AND(J106="y",K106="y"))),"Too Many Artifacts","")</f>
      </c>
      <c r="K104" s="310"/>
      <c r="L104" s="310">
        <f>IF(AND(L105="Y",L106="Y"),"Too Many Dolphins","")</f>
      </c>
      <c r="M104" s="310"/>
      <c r="N104" s="310">
        <f>IF(OR((AND(N105="y",O105="y")),(AND(N106="y",O106="y"))),"Only 1 Sub","")</f>
      </c>
      <c r="O104" s="310"/>
      <c r="P104" s="64"/>
      <c r="Q104" s="65"/>
      <c r="R104" s="310">
        <f>IF(OR(R105+S105&gt;8,R106+S106&gt;8),"Too Many Crates","")</f>
      </c>
      <c r="S104" s="310"/>
    </row>
    <row r="105" spans="1:19" s="16" customFormat="1" ht="24.75" customHeight="1" thickBot="1">
      <c r="A105" s="47">
        <f>A102+1</f>
        <v>33</v>
      </c>
      <c r="B105" s="48">
        <v>1</v>
      </c>
      <c r="C105" s="66"/>
      <c r="D105" s="67"/>
      <c r="E105" s="68">
        <f>IF(NOT(OR(AND($H105&lt;&gt;"Y",$I105&gt;0),AND($J105="Y",$K105="Y"),AND($L105="Y",$L106="Y"),AND($N105="Y",$O105="Y"),OR($R105+$S105&gt;8,$R105+$S105&lt;0))),(IF(F105="y",$F$4,0))+(IF(P105="y",$P$4,0))+(IF(G105="y",$G$4,0))+(IF(H105="y",$H$4,0))+IF(AND(J105="Y",K105="Y"),0,((IF(J105="y",$J$4,0))+(IF(K105="y",$K$4,0))))+(IF(L105="y",$L$4,0))+(IF(M105="y",$M$4,0))+IF(AND(N105="Y",O105="Y"),0,(IF(N105="y",$N$4,0))+(IF(O105="y",$O$4,0)))+(IF(Q105="y",$Q$4,0))+IF((R105+S105&lt;=8),(IF((0&lt;R105)*(R105&lt;=8),R105*2,0))+(IF((0&lt;S105)*(S105&lt;=8),S105*5,0)),0)+IF((I105&lt;=3)*(I105&gt;=0),I105*15,0),"Error")</f>
        <v>0</v>
      </c>
      <c r="F105" s="53"/>
      <c r="G105" s="53"/>
      <c r="H105" s="53"/>
      <c r="I105" s="53"/>
      <c r="J105" s="53"/>
      <c r="K105" s="53"/>
      <c r="L105" s="53"/>
      <c r="M105" s="53"/>
      <c r="N105" s="53"/>
      <c r="O105" s="53"/>
      <c r="P105" s="53"/>
      <c r="Q105" s="53"/>
      <c r="R105" s="53"/>
      <c r="S105" s="53"/>
    </row>
    <row r="106" spans="1:19" s="16" customFormat="1" ht="24.75" customHeight="1" thickBot="1">
      <c r="A106" s="54"/>
      <c r="B106" s="56">
        <v>2</v>
      </c>
      <c r="C106" s="69"/>
      <c r="D106" s="67"/>
      <c r="E106" s="68">
        <f>IF(NOT(OR(AND($H106&lt;&gt;"Y",$I106&gt;0),AND($J106="Y",$K106="Y"),AND($L106="Y",$L105="Y"),AND($N106="Y",$O106="Y"),OR($R106+$S106&gt;8,$R106+$S106&lt;0))),(IF(F106="y",$F$4,0))+(IF(P106="y",$P$4,0))+(IF(G106="y",$G$4,0))+(IF(H106="y",$H$4,0))+IF(AND(J106="Y",K106="Y"),0,((IF(J106="y",$J$4,0))+(IF(K106="y",$K$4,0))))+(IF(L106="y",$L$4,0))+(IF(M106="y",$M$4,0))+IF(AND(N106="Y",O106="Y"),0,(IF(N106="y",$N$4,0))+(IF(O106="y",$O$4,0)))+(IF(Q106="y",$Q$4,0))+IF((R106+S106&lt;=8),(IF((0&lt;R106)*(R106&lt;=8),R106*2,0))+(IF((0&lt;S106)*(S106&lt;=8),S106*5,0)),0)+IF((I106&lt;=3)*(I106&gt;=0),I106*15,0),"Error")</f>
        <v>0</v>
      </c>
      <c r="F106" s="53"/>
      <c r="G106" s="53"/>
      <c r="H106" s="53"/>
      <c r="I106" s="53"/>
      <c r="J106" s="53"/>
      <c r="K106" s="53"/>
      <c r="L106" s="53"/>
      <c r="M106" s="53"/>
      <c r="N106" s="53"/>
      <c r="O106" s="53"/>
      <c r="P106" s="53"/>
      <c r="Q106" s="53"/>
      <c r="R106" s="53"/>
      <c r="S106" s="53"/>
    </row>
    <row r="107" spans="1:19" s="16" customFormat="1" ht="17.25" customHeight="1" thickBot="1">
      <c r="A107" s="39" t="s">
        <v>36</v>
      </c>
      <c r="B107" s="60" t="s">
        <v>37</v>
      </c>
      <c r="C107" s="60" t="s">
        <v>38</v>
      </c>
      <c r="D107" s="61" t="s">
        <v>39</v>
      </c>
      <c r="E107" s="42">
        <f>IF(OR(J107&lt;&gt;"",N107&lt;&gt;"",R107&lt;&gt;"",L107&lt;&gt;"",H107&lt;&gt;""),"Error","")</f>
      </c>
      <c r="F107" s="62"/>
      <c r="G107" s="63"/>
      <c r="H107" s="310">
        <f>IF(OR(AND(I108&gt;0,H108&lt;&gt;"Y"),AND(I109&gt;0,H109&lt;&gt;"Y")),CONCATENATE("Mark ",CHAR(34),"Any Flag Up",CHAR(34)),"")</f>
      </c>
      <c r="I107" s="310"/>
      <c r="J107" s="310">
        <f>IF(OR((AND(J108="y",K108="y")),(AND(J109="y",K109="y"))),"Too Many Artifacts","")</f>
      </c>
      <c r="K107" s="310"/>
      <c r="L107" s="310">
        <f>IF(AND(L108="Y",L109="Y"),"Too Many Dolphins","")</f>
      </c>
      <c r="M107" s="310"/>
      <c r="N107" s="310">
        <f>IF(OR((AND(N108="y",O108="y")),(AND(N109="y",O109="y"))),"Only 1 Sub","")</f>
      </c>
      <c r="O107" s="310"/>
      <c r="P107" s="64"/>
      <c r="Q107" s="65"/>
      <c r="R107" s="310">
        <f>IF(OR(R108+S108&gt;8,R109+S109&gt;8),"Too Many Crates","")</f>
      </c>
      <c r="S107" s="310"/>
    </row>
    <row r="108" spans="1:19" s="16" customFormat="1" ht="24.75" customHeight="1" thickBot="1">
      <c r="A108" s="47">
        <f>A105+1</f>
        <v>34</v>
      </c>
      <c r="B108" s="48">
        <v>1</v>
      </c>
      <c r="C108" s="66"/>
      <c r="D108" s="67"/>
      <c r="E108" s="68">
        <f>IF(NOT(OR(AND($H108&lt;&gt;"Y",$I108&gt;0),AND($J108="Y",$K108="Y"),AND($L108="Y",$L109="Y"),AND($N108="Y",$O108="Y"),OR($R108+$S108&gt;8,$R108+$S108&lt;0))),(IF(F108="y",$F$4,0))+(IF(P108="y",$P$4,0))+(IF(G108="y",$G$4,0))+(IF(H108="y",$H$4,0))+IF(AND(J108="Y",K108="Y"),0,((IF(J108="y",$J$4,0))+(IF(K108="y",$K$4,0))))+(IF(L108="y",$L$4,0))+(IF(M108="y",$M$4,0))+IF(AND(N108="Y",O108="Y"),0,(IF(N108="y",$N$4,0))+(IF(O108="y",$O$4,0)))+(IF(Q108="y",$Q$4,0))+IF((R108+S108&lt;=8),(IF((0&lt;R108)*(R108&lt;=8),R108*2,0))+(IF((0&lt;S108)*(S108&lt;=8),S108*5,0)),0)+IF((I108&lt;=3)*(I108&gt;=0),I108*15,0),"Error")</f>
        <v>0</v>
      </c>
      <c r="F108" s="53"/>
      <c r="G108" s="53"/>
      <c r="H108" s="53"/>
      <c r="I108" s="53"/>
      <c r="J108" s="53"/>
      <c r="K108" s="53"/>
      <c r="L108" s="53"/>
      <c r="M108" s="53"/>
      <c r="N108" s="53"/>
      <c r="O108" s="53"/>
      <c r="P108" s="53"/>
      <c r="Q108" s="53"/>
      <c r="R108" s="53"/>
      <c r="S108" s="53"/>
    </row>
    <row r="109" spans="1:19" s="16" customFormat="1" ht="24.75" customHeight="1" thickBot="1">
      <c r="A109" s="54"/>
      <c r="B109" s="56">
        <v>2</v>
      </c>
      <c r="C109" s="69"/>
      <c r="D109" s="67"/>
      <c r="E109" s="68">
        <f>IF(NOT(OR(AND($H109&lt;&gt;"Y",$I109&gt;0),AND($J109="Y",$K109="Y"),AND($L109="Y",$L108="Y"),AND($N109="Y",$O109="Y"),OR($R109+$S109&gt;8,$R109+$S109&lt;0))),(IF(F109="y",$F$4,0))+(IF(P109="y",$P$4,0))+(IF(G109="y",$G$4,0))+(IF(H109="y",$H$4,0))+IF(AND(J109="Y",K109="Y"),0,((IF(J109="y",$J$4,0))+(IF(K109="y",$K$4,0))))+(IF(L109="y",$L$4,0))+(IF(M109="y",$M$4,0))+IF(AND(N109="Y",O109="Y"),0,(IF(N109="y",$N$4,0))+(IF(O109="y",$O$4,0)))+(IF(Q109="y",$Q$4,0))+IF((R109+S109&lt;=8),(IF((0&lt;R109)*(R109&lt;=8),R109*2,0))+(IF((0&lt;S109)*(S109&lt;=8),S109*5,0)),0)+IF((I109&lt;=3)*(I109&gt;=0),I109*15,0),"Error")</f>
        <v>0</v>
      </c>
      <c r="F109" s="53"/>
      <c r="G109" s="53"/>
      <c r="H109" s="53"/>
      <c r="I109" s="53"/>
      <c r="J109" s="53"/>
      <c r="K109" s="53"/>
      <c r="L109" s="53"/>
      <c r="M109" s="53"/>
      <c r="N109" s="53"/>
      <c r="O109" s="53"/>
      <c r="P109" s="53"/>
      <c r="Q109" s="53"/>
      <c r="R109" s="53"/>
      <c r="S109" s="53"/>
    </row>
    <row r="110" spans="1:19" s="16" customFormat="1" ht="17.25" customHeight="1" thickBot="1">
      <c r="A110" s="39" t="s">
        <v>36</v>
      </c>
      <c r="B110" s="60" t="s">
        <v>37</v>
      </c>
      <c r="C110" s="60" t="s">
        <v>38</v>
      </c>
      <c r="D110" s="61" t="s">
        <v>39</v>
      </c>
      <c r="E110" s="42">
        <f>IF(OR(J110&lt;&gt;"",N110&lt;&gt;"",R110&lt;&gt;"",L110&lt;&gt;"",H110&lt;&gt;""),"Error","")</f>
      </c>
      <c r="F110" s="62"/>
      <c r="G110" s="63"/>
      <c r="H110" s="310">
        <f>IF(OR(AND(I111&gt;0,H111&lt;&gt;"Y"),AND(I112&gt;0,H112&lt;&gt;"Y")),CONCATENATE("Mark ",CHAR(34),"Any Flag Up",CHAR(34)),"")</f>
      </c>
      <c r="I110" s="310"/>
      <c r="J110" s="310">
        <f>IF(OR((AND(J111="y",K111="y")),(AND(J112="y",K112="y"))),"Too Many Artifacts","")</f>
      </c>
      <c r="K110" s="310"/>
      <c r="L110" s="310">
        <f>IF(AND(L111="Y",L112="Y"),"Too Many Dolphins","")</f>
      </c>
      <c r="M110" s="310"/>
      <c r="N110" s="310">
        <f>IF(OR((AND(N111="y",O111="y")),(AND(N112="y",O112="y"))),"Only 1 Sub","")</f>
      </c>
      <c r="O110" s="310"/>
      <c r="P110" s="64"/>
      <c r="Q110" s="65"/>
      <c r="R110" s="310">
        <f>IF(OR(R111+S111&gt;8,R112+S112&gt;8),"Too Many Crates","")</f>
      </c>
      <c r="S110" s="310"/>
    </row>
    <row r="111" spans="1:19" s="16" customFormat="1" ht="24.75" customHeight="1" thickBot="1">
      <c r="A111" s="47">
        <f>A108+1</f>
        <v>35</v>
      </c>
      <c r="B111" s="48">
        <v>1</v>
      </c>
      <c r="C111" s="66"/>
      <c r="D111" s="67"/>
      <c r="E111" s="68">
        <f>IF(NOT(OR(AND($H111&lt;&gt;"Y",$I111&gt;0),AND($J111="Y",$K111="Y"),AND($L111="Y",$L112="Y"),AND($N111="Y",$O111="Y"),OR($R111+$S111&gt;8,$R111+$S111&lt;0))),(IF(F111="y",$F$4,0))+(IF(P111="y",$P$4,0))+(IF(G111="y",$G$4,0))+(IF(H111="y",$H$4,0))+IF(AND(J111="Y",K111="Y"),0,((IF(J111="y",$J$4,0))+(IF(K111="y",$K$4,0))))+(IF(L111="y",$L$4,0))+(IF(M111="y",$M$4,0))+IF(AND(N111="Y",O111="Y"),0,(IF(N111="y",$N$4,0))+(IF(O111="y",$O$4,0)))+(IF(Q111="y",$Q$4,0))+IF((R111+S111&lt;=8),(IF((0&lt;R111)*(R111&lt;=8),R111*2,0))+(IF((0&lt;S111)*(S111&lt;=8),S111*5,0)),0)+IF((I111&lt;=3)*(I111&gt;=0),I111*15,0),"Error")</f>
        <v>0</v>
      </c>
      <c r="F111" s="53"/>
      <c r="G111" s="53"/>
      <c r="H111" s="53"/>
      <c r="I111" s="53"/>
      <c r="J111" s="53"/>
      <c r="K111" s="53"/>
      <c r="L111" s="53"/>
      <c r="M111" s="53"/>
      <c r="N111" s="53"/>
      <c r="O111" s="53"/>
      <c r="P111" s="53"/>
      <c r="Q111" s="53"/>
      <c r="R111" s="53"/>
      <c r="S111" s="53"/>
    </row>
    <row r="112" spans="1:19" s="16" customFormat="1" ht="24.75" customHeight="1" thickBot="1">
      <c r="A112" s="54"/>
      <c r="B112" s="56">
        <v>2</v>
      </c>
      <c r="C112" s="69"/>
      <c r="D112" s="67"/>
      <c r="E112" s="68">
        <f>IF(NOT(OR(AND($H112&lt;&gt;"Y",$I112&gt;0),AND($J112="Y",$K112="Y"),AND($L112="Y",$L111="Y"),AND($N112="Y",$O112="Y"),OR($R112+$S112&gt;8,$R112+$S112&lt;0))),(IF(F112="y",$F$4,0))+(IF(P112="y",$P$4,0))+(IF(G112="y",$G$4,0))+(IF(H112="y",$H$4,0))+IF(AND(J112="Y",K112="Y"),0,((IF(J112="y",$J$4,0))+(IF(K112="y",$K$4,0))))+(IF(L112="y",$L$4,0))+(IF(M112="y",$M$4,0))+IF(AND(N112="Y",O112="Y"),0,(IF(N112="y",$N$4,0))+(IF(O112="y",$O$4,0)))+(IF(Q112="y",$Q$4,0))+IF((R112+S112&lt;=8),(IF((0&lt;R112)*(R112&lt;=8),R112*2,0))+(IF((0&lt;S112)*(S112&lt;=8),S112*5,0)),0)+IF((I112&lt;=3)*(I112&gt;=0),I112*15,0),"Error")</f>
        <v>0</v>
      </c>
      <c r="F112" s="53"/>
      <c r="G112" s="53"/>
      <c r="H112" s="53"/>
      <c r="I112" s="53"/>
      <c r="J112" s="53"/>
      <c r="K112" s="53"/>
      <c r="L112" s="53"/>
      <c r="M112" s="53"/>
      <c r="N112" s="53"/>
      <c r="O112" s="53"/>
      <c r="P112" s="53"/>
      <c r="Q112" s="53"/>
      <c r="R112" s="53"/>
      <c r="S112" s="53"/>
    </row>
    <row r="113" spans="1:19" s="16" customFormat="1" ht="17.25" customHeight="1" thickBot="1">
      <c r="A113" s="39" t="s">
        <v>36</v>
      </c>
      <c r="B113" s="60" t="s">
        <v>37</v>
      </c>
      <c r="C113" s="60" t="s">
        <v>38</v>
      </c>
      <c r="D113" s="61" t="s">
        <v>39</v>
      </c>
      <c r="E113" s="42">
        <f>IF(OR(J113&lt;&gt;"",N113&lt;&gt;"",R113&lt;&gt;"",L113&lt;&gt;"",H113&lt;&gt;""),"Error","")</f>
      </c>
      <c r="F113" s="62"/>
      <c r="G113" s="63"/>
      <c r="H113" s="310">
        <f>IF(OR(AND(I114&gt;0,H114&lt;&gt;"Y"),AND(I115&gt;0,H115&lt;&gt;"Y")),CONCATENATE("Mark ",CHAR(34),"Any Flag Up",CHAR(34)),"")</f>
      </c>
      <c r="I113" s="310"/>
      <c r="J113" s="310">
        <f>IF(OR((AND(J114="y",K114="y")),(AND(J115="y",K115="y"))),"Too Many Artifacts","")</f>
      </c>
      <c r="K113" s="310"/>
      <c r="L113" s="310">
        <f>IF(AND(L114="Y",L115="Y"),"Too Many Dolphins","")</f>
      </c>
      <c r="M113" s="310"/>
      <c r="N113" s="310">
        <f>IF(OR((AND(N114="y",O114="y")),(AND(N115="y",O115="y"))),"Only 1 Sub","")</f>
      </c>
      <c r="O113" s="310"/>
      <c r="P113" s="64"/>
      <c r="Q113" s="65"/>
      <c r="R113" s="310">
        <f>IF(OR(R114+S114&gt;8,R115+S115&gt;8),"Too Many Crates","")</f>
      </c>
      <c r="S113" s="310"/>
    </row>
    <row r="114" spans="1:19" s="16" customFormat="1" ht="24.75" customHeight="1" thickBot="1">
      <c r="A114" s="47">
        <f>A111+1</f>
        <v>36</v>
      </c>
      <c r="B114" s="48">
        <v>1</v>
      </c>
      <c r="C114" s="66"/>
      <c r="D114" s="67"/>
      <c r="E114" s="68">
        <f>IF(NOT(OR(AND($H114&lt;&gt;"Y",$I114&gt;0),AND($J114="Y",$K114="Y"),AND($L114="Y",$L115="Y"),AND($N114="Y",$O114="Y"),OR($R114+$S114&gt;8,$R114+$S114&lt;0))),(IF(F114="y",$F$4,0))+(IF(P114="y",$P$4,0))+(IF(G114="y",$G$4,0))+(IF(H114="y",$H$4,0))+IF(AND(J114="Y",K114="Y"),0,((IF(J114="y",$J$4,0))+(IF(K114="y",$K$4,0))))+(IF(L114="y",$L$4,0))+(IF(M114="y",$M$4,0))+IF(AND(N114="Y",O114="Y"),0,(IF(N114="y",$N$4,0))+(IF(O114="y",$O$4,0)))+(IF(Q114="y",$Q$4,0))+IF((R114+S114&lt;=8),(IF((0&lt;R114)*(R114&lt;=8),R114*2,0))+(IF((0&lt;S114)*(S114&lt;=8),S114*5,0)),0)+IF((I114&lt;=3)*(I114&gt;=0),I114*15,0),"Error")</f>
        <v>0</v>
      </c>
      <c r="F114" s="53"/>
      <c r="G114" s="53"/>
      <c r="H114" s="53"/>
      <c r="I114" s="53"/>
      <c r="J114" s="53"/>
      <c r="K114" s="53"/>
      <c r="L114" s="53"/>
      <c r="M114" s="53"/>
      <c r="N114" s="53"/>
      <c r="O114" s="53"/>
      <c r="P114" s="53"/>
      <c r="Q114" s="53"/>
      <c r="R114" s="53"/>
      <c r="S114" s="53"/>
    </row>
    <row r="115" spans="1:19" s="16" customFormat="1" ht="24.75" customHeight="1" thickBot="1">
      <c r="A115" s="54"/>
      <c r="B115" s="56">
        <v>2</v>
      </c>
      <c r="C115" s="69"/>
      <c r="D115" s="67"/>
      <c r="E115" s="68">
        <f>IF(NOT(OR(AND($H115&lt;&gt;"Y",$I115&gt;0),AND($J115="Y",$K115="Y"),AND($L115="Y",$L114="Y"),AND($N115="Y",$O115="Y"),OR($R115+$S115&gt;8,$R115+$S115&lt;0))),(IF(F115="y",$F$4,0))+(IF(P115="y",$P$4,0))+(IF(G115="y",$G$4,0))+(IF(H115="y",$H$4,0))+IF(AND(J115="Y",K115="Y"),0,((IF(J115="y",$J$4,0))+(IF(K115="y",$K$4,0))))+(IF(L115="y",$L$4,0))+(IF(M115="y",$M$4,0))+IF(AND(N115="Y",O115="Y"),0,(IF(N115="y",$N$4,0))+(IF(O115="y",$O$4,0)))+(IF(Q115="y",$Q$4,0))+IF((R115+S115&lt;=8),(IF((0&lt;R115)*(R115&lt;=8),R115*2,0))+(IF((0&lt;S115)*(S115&lt;=8),S115*5,0)),0)+IF((I115&lt;=3)*(I115&gt;=0),I115*15,0),"Error")</f>
        <v>0</v>
      </c>
      <c r="F115" s="53"/>
      <c r="G115" s="53"/>
      <c r="H115" s="53"/>
      <c r="I115" s="53"/>
      <c r="J115" s="53"/>
      <c r="K115" s="53"/>
      <c r="L115" s="53"/>
      <c r="M115" s="53"/>
      <c r="N115" s="53"/>
      <c r="O115" s="53"/>
      <c r="P115" s="53"/>
      <c r="Q115" s="53"/>
      <c r="R115" s="53"/>
      <c r="S115" s="53"/>
    </row>
    <row r="116" spans="1:19" s="16" customFormat="1" ht="17.25" customHeight="1" thickBot="1">
      <c r="A116" s="39" t="s">
        <v>36</v>
      </c>
      <c r="B116" s="60" t="s">
        <v>37</v>
      </c>
      <c r="C116" s="60" t="s">
        <v>38</v>
      </c>
      <c r="D116" s="61" t="s">
        <v>39</v>
      </c>
      <c r="E116" s="42">
        <f>IF(OR(J116&lt;&gt;"",N116&lt;&gt;"",R116&lt;&gt;"",L116&lt;&gt;"",H116&lt;&gt;""),"Error","")</f>
      </c>
      <c r="F116" s="62"/>
      <c r="G116" s="63"/>
      <c r="H116" s="310">
        <f>IF(OR(AND(I117&gt;0,H117&lt;&gt;"Y"),AND(I118&gt;0,H118&lt;&gt;"Y")),CONCATENATE("Mark ",CHAR(34),"Any Flag Up",CHAR(34)),"")</f>
      </c>
      <c r="I116" s="310"/>
      <c r="J116" s="310">
        <f>IF(OR((AND(J117="y",K117="y")),(AND(J118="y",K118="y"))),"Too Many Artifacts","")</f>
      </c>
      <c r="K116" s="310"/>
      <c r="L116" s="310">
        <f>IF(AND(L117="Y",L118="Y"),"Too Many Dolphins","")</f>
      </c>
      <c r="M116" s="310"/>
      <c r="N116" s="310">
        <f>IF(OR((AND(N117="y",O117="y")),(AND(N118="y",O118="y"))),"Only 1 Sub","")</f>
      </c>
      <c r="O116" s="310"/>
      <c r="P116" s="64"/>
      <c r="Q116" s="65"/>
      <c r="R116" s="310">
        <f>IF(OR(R117+S117&gt;8,R118+S118&gt;8),"Too Many Crates","")</f>
      </c>
      <c r="S116" s="310"/>
    </row>
    <row r="117" spans="1:19" s="16" customFormat="1" ht="24.75" customHeight="1" thickBot="1">
      <c r="A117" s="47">
        <f>A114+1</f>
        <v>37</v>
      </c>
      <c r="B117" s="48">
        <v>1</v>
      </c>
      <c r="C117" s="66"/>
      <c r="D117" s="67"/>
      <c r="E117" s="68">
        <f>IF(NOT(OR(AND($H117&lt;&gt;"Y",$I117&gt;0),AND($J117="Y",$K117="Y"),AND($L117="Y",$L118="Y"),AND($N117="Y",$O117="Y"),OR($R117+$S117&gt;8,$R117+$S117&lt;0))),(IF(F117="y",$F$4,0))+(IF(P117="y",$P$4,0))+(IF(G117="y",$G$4,0))+(IF(H117="y",$H$4,0))+IF(AND(J117="Y",K117="Y"),0,((IF(J117="y",$J$4,0))+(IF(K117="y",$K$4,0))))+(IF(L117="y",$L$4,0))+(IF(M117="y",$M$4,0))+IF(AND(N117="Y",O117="Y"),0,(IF(N117="y",$N$4,0))+(IF(O117="y",$O$4,0)))+(IF(Q117="y",$Q$4,0))+IF((R117+S117&lt;=8),(IF((0&lt;R117)*(R117&lt;=8),R117*2,0))+(IF((0&lt;S117)*(S117&lt;=8),S117*5,0)),0)+IF((I117&lt;=3)*(I117&gt;=0),I117*15,0),"Error")</f>
        <v>0</v>
      </c>
      <c r="F117" s="53"/>
      <c r="G117" s="53"/>
      <c r="H117" s="53"/>
      <c r="I117" s="53"/>
      <c r="J117" s="53"/>
      <c r="K117" s="53"/>
      <c r="L117" s="53"/>
      <c r="M117" s="53"/>
      <c r="N117" s="53"/>
      <c r="O117" s="53"/>
      <c r="P117" s="53"/>
      <c r="Q117" s="53"/>
      <c r="R117" s="53"/>
      <c r="S117" s="53"/>
    </row>
    <row r="118" spans="1:19" s="16" customFormat="1" ht="24.75" customHeight="1" thickBot="1">
      <c r="A118" s="54"/>
      <c r="B118" s="56">
        <v>2</v>
      </c>
      <c r="C118" s="69"/>
      <c r="D118" s="67"/>
      <c r="E118" s="68">
        <f>IF(NOT(OR(AND($H118&lt;&gt;"Y",$I118&gt;0),AND($J118="Y",$K118="Y"),AND($L118="Y",$L117="Y"),AND($N118="Y",$O118="Y"),OR($R118+$S118&gt;8,$R118+$S118&lt;0))),(IF(F118="y",$F$4,0))+(IF(P118="y",$P$4,0))+(IF(G118="y",$G$4,0))+(IF(H118="y",$H$4,0))+IF(AND(J118="Y",K118="Y"),0,((IF(J118="y",$J$4,0))+(IF(K118="y",$K$4,0))))+(IF(L118="y",$L$4,0))+(IF(M118="y",$M$4,0))+IF(AND(N118="Y",O118="Y"),0,(IF(N118="y",$N$4,0))+(IF(O118="y",$O$4,0)))+(IF(Q118="y",$Q$4,0))+IF((R118+S118&lt;=8),(IF((0&lt;R118)*(R118&lt;=8),R118*2,0))+(IF((0&lt;S118)*(S118&lt;=8),S118*5,0)),0)+IF((I118&lt;=3)*(I118&gt;=0),I118*15,0),"Error")</f>
        <v>0</v>
      </c>
      <c r="F118" s="53"/>
      <c r="G118" s="53"/>
      <c r="H118" s="53"/>
      <c r="I118" s="53"/>
      <c r="J118" s="53"/>
      <c r="K118" s="53"/>
      <c r="L118" s="53"/>
      <c r="M118" s="53"/>
      <c r="N118" s="53"/>
      <c r="O118" s="53"/>
      <c r="P118" s="53"/>
      <c r="Q118" s="53"/>
      <c r="R118" s="53"/>
      <c r="S118" s="53"/>
    </row>
    <row r="119" spans="1:19" s="16" customFormat="1" ht="17.25" customHeight="1" thickBot="1">
      <c r="A119" s="39" t="s">
        <v>36</v>
      </c>
      <c r="B119" s="60" t="s">
        <v>37</v>
      </c>
      <c r="C119" s="60" t="s">
        <v>38</v>
      </c>
      <c r="D119" s="61" t="s">
        <v>39</v>
      </c>
      <c r="E119" s="42">
        <f>IF(OR(J119&lt;&gt;"",N119&lt;&gt;"",R119&lt;&gt;"",L119&lt;&gt;"",H119&lt;&gt;""),"Error","")</f>
      </c>
      <c r="F119" s="62"/>
      <c r="G119" s="63"/>
      <c r="H119" s="310">
        <f>IF(OR(AND(I120&gt;0,H120&lt;&gt;"Y"),AND(I121&gt;0,H121&lt;&gt;"Y")),CONCATENATE("Mark ",CHAR(34),"Any Flag Up",CHAR(34)),"")</f>
      </c>
      <c r="I119" s="310"/>
      <c r="J119" s="310">
        <f>IF(OR((AND(J120="y",K120="y")),(AND(J121="y",K121="y"))),"Too Many Artifacts","")</f>
      </c>
      <c r="K119" s="310"/>
      <c r="L119" s="310">
        <f>IF(AND(L120="Y",L121="Y"),"Too Many Dolphins","")</f>
      </c>
      <c r="M119" s="310"/>
      <c r="N119" s="310">
        <f>IF(OR((AND(N120="y",O120="y")),(AND(N121="y",O121="y"))),"Only 1 Sub","")</f>
      </c>
      <c r="O119" s="310"/>
      <c r="P119" s="64"/>
      <c r="Q119" s="65"/>
      <c r="R119" s="310">
        <f>IF(OR(R120+S120&gt;8,R121+S121&gt;8),"Too Many Crates","")</f>
      </c>
      <c r="S119" s="310"/>
    </row>
    <row r="120" spans="1:19" s="16" customFormat="1" ht="24.75" customHeight="1" thickBot="1">
      <c r="A120" s="47">
        <f>A117+1</f>
        <v>38</v>
      </c>
      <c r="B120" s="48">
        <v>1</v>
      </c>
      <c r="C120" s="66"/>
      <c r="D120" s="67"/>
      <c r="E120" s="68">
        <f>IF(NOT(OR(AND($H120&lt;&gt;"Y",$I120&gt;0),AND($J120="Y",$K120="Y"),AND($L120="Y",$L121="Y"),AND($N120="Y",$O120="Y"),OR($R120+$S120&gt;8,$R120+$S120&lt;0))),(IF(F120="y",$F$4,0))+(IF(P120="y",$P$4,0))+(IF(G120="y",$G$4,0))+(IF(H120="y",$H$4,0))+IF(AND(J120="Y",K120="Y"),0,((IF(J120="y",$J$4,0))+(IF(K120="y",$K$4,0))))+(IF(L120="y",$L$4,0))+(IF(M120="y",$M$4,0))+IF(AND(N120="Y",O120="Y"),0,(IF(N120="y",$N$4,0))+(IF(O120="y",$O$4,0)))+(IF(Q120="y",$Q$4,0))+IF((R120+S120&lt;=8),(IF((0&lt;R120)*(R120&lt;=8),R120*2,0))+(IF((0&lt;S120)*(S120&lt;=8),S120*5,0)),0)+IF((I120&lt;=3)*(I120&gt;=0),I120*15,0),"Error")</f>
        <v>0</v>
      </c>
      <c r="F120" s="53"/>
      <c r="G120" s="53"/>
      <c r="H120" s="53"/>
      <c r="I120" s="53"/>
      <c r="J120" s="53"/>
      <c r="K120" s="53"/>
      <c r="L120" s="53"/>
      <c r="M120" s="53"/>
      <c r="N120" s="53"/>
      <c r="O120" s="53"/>
      <c r="P120" s="53"/>
      <c r="Q120" s="53"/>
      <c r="R120" s="53"/>
      <c r="S120" s="53"/>
    </row>
    <row r="121" spans="1:19" s="16" customFormat="1" ht="24.75" customHeight="1" thickBot="1">
      <c r="A121" s="54"/>
      <c r="B121" s="56">
        <v>2</v>
      </c>
      <c r="C121" s="69"/>
      <c r="D121" s="67"/>
      <c r="E121" s="68">
        <f>IF(NOT(OR(AND($H121&lt;&gt;"Y",$I121&gt;0),AND($J121="Y",$K121="Y"),AND($L121="Y",$L120="Y"),AND($N121="Y",$O121="Y"),OR($R121+$S121&gt;8,$R121+$S121&lt;0))),(IF(F121="y",$F$4,0))+(IF(P121="y",$P$4,0))+(IF(G121="y",$G$4,0))+(IF(H121="y",$H$4,0))+IF(AND(J121="Y",K121="Y"),0,((IF(J121="y",$J$4,0))+(IF(K121="y",$K$4,0))))+(IF(L121="y",$L$4,0))+(IF(M121="y",$M$4,0))+IF(AND(N121="Y",O121="Y"),0,(IF(N121="y",$N$4,0))+(IF(O121="y",$O$4,0)))+(IF(Q121="y",$Q$4,0))+IF((R121+S121&lt;=8),(IF((0&lt;R121)*(R121&lt;=8),R121*2,0))+(IF((0&lt;S121)*(S121&lt;=8),S121*5,0)),0)+IF((I121&lt;=3)*(I121&gt;=0),I121*15,0),"Error")</f>
        <v>0</v>
      </c>
      <c r="F121" s="53"/>
      <c r="G121" s="53"/>
      <c r="H121" s="53"/>
      <c r="I121" s="53"/>
      <c r="J121" s="53"/>
      <c r="K121" s="53"/>
      <c r="L121" s="53"/>
      <c r="M121" s="53"/>
      <c r="N121" s="53"/>
      <c r="O121" s="53"/>
      <c r="P121" s="53"/>
      <c r="Q121" s="53"/>
      <c r="R121" s="53"/>
      <c r="S121" s="53"/>
    </row>
    <row r="122" spans="1:19" s="16" customFormat="1" ht="17.25" customHeight="1" thickBot="1">
      <c r="A122" s="39" t="s">
        <v>36</v>
      </c>
      <c r="B122" s="60" t="s">
        <v>37</v>
      </c>
      <c r="C122" s="60" t="s">
        <v>38</v>
      </c>
      <c r="D122" s="61" t="s">
        <v>39</v>
      </c>
      <c r="E122" s="42">
        <f>IF(OR(J122&lt;&gt;"",N122&lt;&gt;"",R122&lt;&gt;"",L122&lt;&gt;"",H122&lt;&gt;""),"Error","")</f>
      </c>
      <c r="F122" s="62"/>
      <c r="G122" s="63"/>
      <c r="H122" s="310">
        <f>IF(OR(AND(I123&gt;0,H123&lt;&gt;"Y"),AND(I124&gt;0,H124&lt;&gt;"Y")),CONCATENATE("Mark ",CHAR(34),"Any Flag Up",CHAR(34)),"")</f>
      </c>
      <c r="I122" s="310"/>
      <c r="J122" s="310">
        <f>IF(OR((AND(J123="y",K123="y")),(AND(J124="y",K124="y"))),"Too Many Artifacts","")</f>
      </c>
      <c r="K122" s="310"/>
      <c r="L122" s="310">
        <f>IF(AND(L123="Y",L124="Y"),"Too Many Dolphins","")</f>
      </c>
      <c r="M122" s="310"/>
      <c r="N122" s="310">
        <f>IF(OR((AND(N123="y",O123="y")),(AND(N124="y",O124="y"))),"Only 1 Sub","")</f>
      </c>
      <c r="O122" s="310"/>
      <c r="P122" s="64"/>
      <c r="Q122" s="65"/>
      <c r="R122" s="310">
        <f>IF(OR(R123+S123&gt;8,R124+S124&gt;8),"Too Many Crates","")</f>
      </c>
      <c r="S122" s="310"/>
    </row>
    <row r="123" spans="1:19" s="16" customFormat="1" ht="24.75" customHeight="1" thickBot="1">
      <c r="A123" s="47">
        <f>A120+1</f>
        <v>39</v>
      </c>
      <c r="B123" s="48">
        <v>1</v>
      </c>
      <c r="C123" s="66"/>
      <c r="D123" s="67"/>
      <c r="E123" s="68">
        <f>IF(NOT(OR(AND($H123&lt;&gt;"Y",$I123&gt;0),AND($J123="Y",$K123="Y"),AND($L123="Y",$L124="Y"),AND($N123="Y",$O123="Y"),OR($R123+$S123&gt;8,$R123+$S123&lt;0))),(IF(F123="y",$F$4,0))+(IF(P123="y",$P$4,0))+(IF(G123="y",$G$4,0))+(IF(H123="y",$H$4,0))+IF(AND(J123="Y",K123="Y"),0,((IF(J123="y",$J$4,0))+(IF(K123="y",$K$4,0))))+(IF(L123="y",$L$4,0))+(IF(M123="y",$M$4,0))+IF(AND(N123="Y",O123="Y"),0,(IF(N123="y",$N$4,0))+(IF(O123="y",$O$4,0)))+(IF(Q123="y",$Q$4,0))+IF((R123+S123&lt;=8),(IF((0&lt;R123)*(R123&lt;=8),R123*2,0))+(IF((0&lt;S123)*(S123&lt;=8),S123*5,0)),0)+IF((I123&lt;=3)*(I123&gt;=0),I123*15,0),"Error")</f>
        <v>0</v>
      </c>
      <c r="F123" s="53"/>
      <c r="G123" s="53"/>
      <c r="H123" s="53"/>
      <c r="I123" s="53"/>
      <c r="J123" s="53"/>
      <c r="K123" s="53"/>
      <c r="L123" s="53"/>
      <c r="M123" s="53"/>
      <c r="N123" s="53"/>
      <c r="O123" s="53"/>
      <c r="P123" s="53"/>
      <c r="Q123" s="53"/>
      <c r="R123" s="53"/>
      <c r="S123" s="53"/>
    </row>
    <row r="124" spans="1:19" s="16" customFormat="1" ht="24.75" customHeight="1" thickBot="1">
      <c r="A124" s="54"/>
      <c r="B124" s="56">
        <v>2</v>
      </c>
      <c r="C124" s="69"/>
      <c r="D124" s="67"/>
      <c r="E124" s="68">
        <f>IF(NOT(OR(AND($H124&lt;&gt;"Y",$I124&gt;0),AND($J124="Y",$K124="Y"),AND($L124="Y",$L123="Y"),AND($N124="Y",$O124="Y"),OR($R124+$S124&gt;8,$R124+$S124&lt;0))),(IF(F124="y",$F$4,0))+(IF(P124="y",$P$4,0))+(IF(G124="y",$G$4,0))+(IF(H124="y",$H$4,0))+IF(AND(J124="Y",K124="Y"),0,((IF(J124="y",$J$4,0))+(IF(K124="y",$K$4,0))))+(IF(L124="y",$L$4,0))+(IF(M124="y",$M$4,0))+IF(AND(N124="Y",O124="Y"),0,(IF(N124="y",$N$4,0))+(IF(O124="y",$O$4,0)))+(IF(Q124="y",$Q$4,0))+IF((R124+S124&lt;=8),(IF((0&lt;R124)*(R124&lt;=8),R124*2,0))+(IF((0&lt;S124)*(S124&lt;=8),S124*5,0)),0)+IF((I124&lt;=3)*(I124&gt;=0),I124*15,0),"Error")</f>
        <v>0</v>
      </c>
      <c r="F124" s="53"/>
      <c r="G124" s="53"/>
      <c r="H124" s="53"/>
      <c r="I124" s="53"/>
      <c r="J124" s="53"/>
      <c r="K124" s="53"/>
      <c r="L124" s="53"/>
      <c r="M124" s="53"/>
      <c r="N124" s="53"/>
      <c r="O124" s="53"/>
      <c r="P124" s="53"/>
      <c r="Q124" s="53"/>
      <c r="R124" s="53"/>
      <c r="S124" s="53"/>
    </row>
    <row r="125" spans="1:19" s="16" customFormat="1" ht="17.25" customHeight="1" thickBot="1">
      <c r="A125" s="39" t="s">
        <v>36</v>
      </c>
      <c r="B125" s="60" t="s">
        <v>37</v>
      </c>
      <c r="C125" s="60" t="s">
        <v>38</v>
      </c>
      <c r="D125" s="61" t="s">
        <v>39</v>
      </c>
      <c r="E125" s="42">
        <f>IF(OR(J125&lt;&gt;"",N125&lt;&gt;"",R125&lt;&gt;"",L125&lt;&gt;"",H125&lt;&gt;""),"Error","")</f>
      </c>
      <c r="F125" s="62"/>
      <c r="G125" s="63"/>
      <c r="H125" s="310">
        <f>IF(OR(AND(I126&gt;0,H126&lt;&gt;"Y"),AND(I127&gt;0,H127&lt;&gt;"Y")),CONCATENATE("Mark ",CHAR(34),"Any Flag Up",CHAR(34)),"")</f>
      </c>
      <c r="I125" s="310"/>
      <c r="J125" s="310">
        <f>IF(OR((AND(J126="y",K126="y")),(AND(J127="y",K127="y"))),"Too Many Artifacts","")</f>
      </c>
      <c r="K125" s="310"/>
      <c r="L125" s="310">
        <f>IF(AND(L126="Y",L127="Y"),"Too Many Dolphins","")</f>
      </c>
      <c r="M125" s="310"/>
      <c r="N125" s="310">
        <f>IF(OR((AND(N126="y",O126="y")),(AND(N127="y",O127="y"))),"Only 1 Sub","")</f>
      </c>
      <c r="O125" s="310"/>
      <c r="P125" s="64"/>
      <c r="Q125" s="65"/>
      <c r="R125" s="310">
        <f>IF(OR(R126+S126&gt;8,R127+S127&gt;8),"Too Many Crates","")</f>
      </c>
      <c r="S125" s="310"/>
    </row>
    <row r="126" spans="1:19" s="16" customFormat="1" ht="24.75" customHeight="1" thickBot="1">
      <c r="A126" s="47">
        <f>A123+1</f>
        <v>40</v>
      </c>
      <c r="B126" s="48">
        <v>1</v>
      </c>
      <c r="C126" s="66"/>
      <c r="D126" s="67"/>
      <c r="E126" s="68">
        <f>IF(NOT(OR(AND($H126&lt;&gt;"Y",$I126&gt;0),AND($J126="Y",$K126="Y"),AND($L126="Y",$L127="Y"),AND($N126="Y",$O126="Y"),OR($R126+$S126&gt;8,$R126+$S126&lt;0))),(IF(F126="y",$F$4,0))+(IF(P126="y",$P$4,0))+(IF(G126="y",$G$4,0))+(IF(H126="y",$H$4,0))+IF(AND(J126="Y",K126="Y"),0,((IF(J126="y",$J$4,0))+(IF(K126="y",$K$4,0))))+(IF(L126="y",$L$4,0))+(IF(M126="y",$M$4,0))+IF(AND(N126="Y",O126="Y"),0,(IF(N126="y",$N$4,0))+(IF(O126="y",$O$4,0)))+(IF(Q126="y",$Q$4,0))+IF((R126+S126&lt;=8),(IF((0&lt;R126)*(R126&lt;=8),R126*2,0))+(IF((0&lt;S126)*(S126&lt;=8),S126*5,0)),0)+IF((I126&lt;=3)*(I126&gt;=0),I126*15,0),"Error")</f>
        <v>0</v>
      </c>
      <c r="F126" s="53"/>
      <c r="G126" s="53"/>
      <c r="H126" s="53"/>
      <c r="I126" s="53"/>
      <c r="J126" s="53"/>
      <c r="K126" s="53"/>
      <c r="L126" s="53"/>
      <c r="M126" s="53"/>
      <c r="N126" s="53"/>
      <c r="O126" s="53"/>
      <c r="P126" s="53"/>
      <c r="Q126" s="53"/>
      <c r="R126" s="53"/>
      <c r="S126" s="53"/>
    </row>
    <row r="127" spans="1:19" s="16" customFormat="1" ht="24.75" customHeight="1" thickBot="1">
      <c r="A127" s="54"/>
      <c r="B127" s="56">
        <v>2</v>
      </c>
      <c r="C127" s="69"/>
      <c r="D127" s="67"/>
      <c r="E127" s="68">
        <f>IF(NOT(OR(AND($H127&lt;&gt;"Y",$I127&gt;0),AND($J127="Y",$K127="Y"),AND($L127="Y",$L126="Y"),AND($N127="Y",$O127="Y"),OR($R127+$S127&gt;8,$R127+$S127&lt;0))),(IF(F127="y",$F$4,0))+(IF(P127="y",$P$4,0))+(IF(G127="y",$G$4,0))+(IF(H127="y",$H$4,0))+IF(AND(J127="Y",K127="Y"),0,((IF(J127="y",$J$4,0))+(IF(K127="y",$K$4,0))))+(IF(L127="y",$L$4,0))+(IF(M127="y",$M$4,0))+IF(AND(N127="Y",O127="Y"),0,(IF(N127="y",$N$4,0))+(IF(O127="y",$O$4,0)))+(IF(Q127="y",$Q$4,0))+IF((R127+S127&lt;=8),(IF((0&lt;R127)*(R127&lt;=8),R127*2,0))+(IF((0&lt;S127)*(S127&lt;=8),S127*5,0)),0)+IF((I127&lt;=3)*(I127&gt;=0),I127*15,0),"Error")</f>
        <v>0</v>
      </c>
      <c r="F127" s="53"/>
      <c r="G127" s="53"/>
      <c r="H127" s="53"/>
      <c r="I127" s="53"/>
      <c r="J127" s="53"/>
      <c r="K127" s="53"/>
      <c r="L127" s="53"/>
      <c r="M127" s="53"/>
      <c r="N127" s="53"/>
      <c r="O127" s="53"/>
      <c r="P127" s="53"/>
      <c r="Q127" s="53"/>
      <c r="R127" s="53"/>
      <c r="S127" s="53"/>
    </row>
    <row r="128" ht="42" customHeight="1"/>
    <row r="129" spans="4:15" ht="115.5" customHeight="1" thickBot="1">
      <c r="D129" s="308" t="s">
        <v>43</v>
      </c>
      <c r="E129" s="308"/>
      <c r="F129" s="308"/>
      <c r="G129" s="308"/>
      <c r="H129" s="308"/>
      <c r="I129" s="308"/>
      <c r="J129" s="308"/>
      <c r="K129" s="308"/>
      <c r="L129" s="308"/>
      <c r="M129" s="308"/>
      <c r="N129" s="308"/>
      <c r="O129" s="308"/>
    </row>
    <row r="130" spans="1:22" ht="48" customHeight="1" thickBot="1">
      <c r="A130" s="70"/>
      <c r="B130" s="71" t="s">
        <v>44</v>
      </c>
      <c r="C130" s="73" t="s">
        <v>45</v>
      </c>
      <c r="D130" s="74" t="s">
        <v>39</v>
      </c>
      <c r="E130" s="75" t="s">
        <v>46</v>
      </c>
      <c r="F130" s="76" t="s">
        <v>47</v>
      </c>
      <c r="G130" s="76" t="s">
        <v>48</v>
      </c>
      <c r="H130" s="76" t="s">
        <v>49</v>
      </c>
      <c r="I130" s="77" t="s">
        <v>50</v>
      </c>
      <c r="J130" s="77" t="s">
        <v>51</v>
      </c>
      <c r="K130" s="78" t="s">
        <v>52</v>
      </c>
      <c r="M130" s="72"/>
      <c r="N130" s="72"/>
      <c r="O130" s="72"/>
      <c r="P130" s="72"/>
      <c r="Q130" s="72"/>
      <c r="R130" s="72"/>
      <c r="S130" s="72"/>
      <c r="T130" s="72"/>
      <c r="U130" s="72"/>
      <c r="V130" s="72"/>
    </row>
    <row r="131" spans="1:22" ht="18.75" customHeight="1">
      <c r="A131" s="70"/>
      <c r="B131" s="79"/>
      <c r="C131" s="80"/>
      <c r="D131" s="81" t="s">
        <v>53</v>
      </c>
      <c r="E131" s="82"/>
      <c r="F131" s="83">
        <f aca="true" t="shared" si="0" ref="F131:K131">MAX(F134:F153)</f>
        <v>0</v>
      </c>
      <c r="G131" s="83">
        <f t="shared" si="0"/>
        <v>0</v>
      </c>
      <c r="H131" s="83">
        <f t="shared" si="0"/>
        <v>0</v>
      </c>
      <c r="I131" s="83">
        <f t="shared" si="0"/>
        <v>0</v>
      </c>
      <c r="J131" s="83">
        <f t="shared" si="0"/>
        <v>0</v>
      </c>
      <c r="K131" s="84">
        <f t="shared" si="0"/>
        <v>0</v>
      </c>
      <c r="L131" s="72"/>
      <c r="M131" s="72"/>
      <c r="N131" s="72"/>
      <c r="O131" s="72"/>
      <c r="P131" s="72"/>
      <c r="Q131" s="72"/>
      <c r="R131" s="72"/>
      <c r="S131" s="72"/>
      <c r="T131" s="72"/>
      <c r="U131" s="72"/>
      <c r="V131" s="72"/>
    </row>
    <row r="132" spans="1:22" ht="18.75" customHeight="1" thickBot="1">
      <c r="A132" s="70"/>
      <c r="B132" s="85"/>
      <c r="C132" s="86"/>
      <c r="D132" s="87" t="s">
        <v>54</v>
      </c>
      <c r="E132" s="88"/>
      <c r="F132" s="89">
        <f aca="true" t="shared" si="1" ref="F132:K132">LARGE(F134:F153,2)</f>
        <v>0</v>
      </c>
      <c r="G132" s="89">
        <f t="shared" si="1"/>
        <v>0</v>
      </c>
      <c r="H132" s="89">
        <f t="shared" si="1"/>
        <v>0</v>
      </c>
      <c r="I132" s="89">
        <f t="shared" si="1"/>
        <v>0</v>
      </c>
      <c r="J132" s="89">
        <f t="shared" si="1"/>
        <v>0</v>
      </c>
      <c r="K132" s="90">
        <f t="shared" si="1"/>
        <v>0</v>
      </c>
      <c r="L132" s="72"/>
      <c r="M132" s="91"/>
      <c r="N132" s="72"/>
      <c r="O132" s="72"/>
      <c r="P132" s="72"/>
      <c r="Q132" s="72"/>
      <c r="R132" s="72"/>
      <c r="S132" s="72"/>
      <c r="T132" s="72"/>
      <c r="U132" s="72"/>
      <c r="V132" s="72"/>
    </row>
    <row r="133" spans="1:22" ht="18.75" customHeight="1" thickBot="1">
      <c r="A133" s="70"/>
      <c r="B133" s="85"/>
      <c r="C133" s="86"/>
      <c r="D133" s="88"/>
      <c r="E133" s="88"/>
      <c r="F133" s="88"/>
      <c r="G133" s="88"/>
      <c r="H133" s="88"/>
      <c r="I133" s="88"/>
      <c r="J133" s="88"/>
      <c r="K133" s="92"/>
      <c r="L133" s="72"/>
      <c r="M133" s="91"/>
      <c r="N133" s="72"/>
      <c r="O133" s="72"/>
      <c r="P133" s="72"/>
      <c r="Q133" s="72"/>
      <c r="R133" s="72"/>
      <c r="S133" s="72"/>
      <c r="T133" s="72"/>
      <c r="U133" s="72"/>
      <c r="V133" s="72"/>
    </row>
    <row r="134" spans="1:22" ht="18">
      <c r="A134" s="70"/>
      <c r="B134" s="93">
        <v>1</v>
      </c>
      <c r="C134" s="258">
        <v>3968</v>
      </c>
      <c r="D134" s="259" t="s">
        <v>238</v>
      </c>
      <c r="E134" s="263" t="s">
        <v>239</v>
      </c>
      <c r="F134" s="94">
        <f aca="true" t="array" ref="F134">MAX(IF($D$6:$D$127=$D134,$E$6:$E$127))</f>
        <v>0</v>
      </c>
      <c r="G134" s="94">
        <f aca="true" t="array" ref="G134">SUM(IF($D$6:$D$127=$D134,$E$6:$E$127))</f>
        <v>0</v>
      </c>
      <c r="H134" s="95">
        <f aca="true" t="array" ref="H134">COUNT(IF($D$6:$D$127=$D134,$E$6:$E$127))</f>
        <v>0</v>
      </c>
      <c r="I134" s="94">
        <f aca="true" t="shared" si="2" ref="I134:I153">IF(H134&gt;0,G134/H134,0)</f>
        <v>0</v>
      </c>
      <c r="J134" s="94">
        <f aca="true" t="array" ref="J134">IF(ISNA(INDEX($D$6:$E$127,MATCH($D134,$D$6:$D$127,0),2)),0,INDEX($D$6:$E$127,MATCH($D134,$D$6:$D$127,0),2))</f>
        <v>0</v>
      </c>
      <c r="K134" s="96">
        <f aca="true" t="shared" si="3" ref="K134:K153">F134-J134</f>
        <v>0</v>
      </c>
      <c r="L134" s="91"/>
      <c r="M134" s="91"/>
      <c r="N134" s="91"/>
      <c r="O134" s="72"/>
      <c r="P134" s="72"/>
      <c r="Q134" s="72"/>
      <c r="R134" s="72"/>
      <c r="S134" s="72"/>
      <c r="T134" s="72"/>
      <c r="U134" s="72"/>
      <c r="V134" s="72"/>
    </row>
    <row r="135" spans="1:22" ht="27" customHeight="1">
      <c r="A135" s="70"/>
      <c r="B135" s="93">
        <f aca="true" t="shared" si="4" ref="B135:B153">1+B134</f>
        <v>2</v>
      </c>
      <c r="C135" s="260">
        <v>3407</v>
      </c>
      <c r="D135" s="261" t="s">
        <v>234</v>
      </c>
      <c r="E135" s="264" t="s">
        <v>235</v>
      </c>
      <c r="F135" s="97">
        <f aca="true" t="array" ref="F135">MAX(IF($D$6:$D$127=$D135,$E$6:$E$127))</f>
        <v>0</v>
      </c>
      <c r="G135" s="97">
        <f aca="true" t="array" ref="G135">SUM(IF($D$6:$D$127=$D135,$E$6:$E$127))</f>
        <v>0</v>
      </c>
      <c r="H135" s="95">
        <f aca="true" t="array" ref="H135">COUNT(IF($D$6:$D$127=$D135,$E$6:$E$127))</f>
        <v>0</v>
      </c>
      <c r="I135" s="97">
        <f t="shared" si="2"/>
        <v>0</v>
      </c>
      <c r="J135" s="97">
        <f aca="true" t="array" ref="J135">IF(ISNA(INDEX($D$6:$E$127,MATCH($D135,$D$6:$D$127,0),2)),0,INDEX($D$6:$E$127,MATCH($D135,$D$6:$D$127,0),2))</f>
        <v>0</v>
      </c>
      <c r="K135" s="98">
        <f t="shared" si="3"/>
        <v>0</v>
      </c>
      <c r="L135" s="91"/>
      <c r="M135" s="91"/>
      <c r="N135" s="72"/>
      <c r="O135" s="72"/>
      <c r="P135" s="72"/>
      <c r="Q135" s="72"/>
      <c r="R135" s="72"/>
      <c r="S135" s="72"/>
      <c r="T135" s="72"/>
      <c r="U135" s="72"/>
      <c r="V135" s="72"/>
    </row>
    <row r="136" spans="1:22" ht="27" customHeight="1">
      <c r="A136" s="70"/>
      <c r="B136" s="93">
        <f t="shared" si="4"/>
        <v>3</v>
      </c>
      <c r="C136" s="260">
        <v>508</v>
      </c>
      <c r="D136" s="261" t="s">
        <v>55</v>
      </c>
      <c r="E136" s="264" t="s">
        <v>223</v>
      </c>
      <c r="F136" s="97">
        <f aca="true" t="array" ref="F136">MAX(IF($D$6:$D$127=$D136,$E$6:$E$127))</f>
        <v>0</v>
      </c>
      <c r="G136" s="97">
        <f aca="true" t="array" ref="G136">SUM(IF($D$6:$D$127=$D136,$E$6:$E$127))</f>
        <v>0</v>
      </c>
      <c r="H136" s="95">
        <f aca="true" t="array" ref="H136">COUNT(IF($D$6:$D$127=$D136,$E$6:$E$127))</f>
        <v>0</v>
      </c>
      <c r="I136" s="97">
        <f t="shared" si="2"/>
        <v>0</v>
      </c>
      <c r="J136" s="97">
        <f>IF(ISNA(INDEX($D$6:$E$127,MATCH($D136,$D$6:$D$127,0),2)),0,INDEX($D$6:$E$127,MATCH($D136,$D$6:$D$127,0),2))</f>
        <v>0</v>
      </c>
      <c r="K136" s="98">
        <f t="shared" si="3"/>
        <v>0</v>
      </c>
      <c r="L136" s="91"/>
      <c r="M136" s="91"/>
      <c r="N136" s="72"/>
      <c r="O136" s="72"/>
      <c r="P136" s="72"/>
      <c r="Q136" s="72"/>
      <c r="R136" s="72"/>
      <c r="S136" s="72"/>
      <c r="T136" s="72"/>
      <c r="U136" s="72"/>
      <c r="V136" s="72"/>
    </row>
    <row r="137" spans="1:22" ht="27" customHeight="1">
      <c r="A137" s="70"/>
      <c r="B137" s="93">
        <f t="shared" si="4"/>
        <v>4</v>
      </c>
      <c r="C137" s="260">
        <v>3229</v>
      </c>
      <c r="D137" s="261" t="s">
        <v>232</v>
      </c>
      <c r="E137" s="264" t="s">
        <v>233</v>
      </c>
      <c r="F137" s="97">
        <f aca="true" t="array" ref="F137">MAX(IF($D$6:$D$127=$D137,$E$6:$E$127))</f>
        <v>0</v>
      </c>
      <c r="G137" s="97">
        <f aca="true" t="array" ref="G137">SUM(IF($D$6:$D$127=$D137,$E$6:$E$127))</f>
        <v>0</v>
      </c>
      <c r="H137" s="95">
        <f aca="true" t="array" ref="H137">COUNT(IF($D$6:$D$127=$D137,$E$6:$E$127))</f>
        <v>0</v>
      </c>
      <c r="I137" s="97">
        <f t="shared" si="2"/>
        <v>0</v>
      </c>
      <c r="J137" s="97">
        <f aca="true" t="array" ref="J137">IF(ISNA(INDEX($D$6:$E$127,MATCH($D137,$D$6:$D$127,0),2)),0,INDEX($D$6:$E$127,MATCH($D137,$D$6:$D$127,0),2))</f>
        <v>0</v>
      </c>
      <c r="K137" s="98">
        <f t="shared" si="3"/>
        <v>0</v>
      </c>
      <c r="L137" s="91"/>
      <c r="M137" s="91"/>
      <c r="N137" s="72"/>
      <c r="O137" s="72"/>
      <c r="P137" s="72"/>
      <c r="Q137" s="72"/>
      <c r="R137" s="72"/>
      <c r="S137" s="72"/>
      <c r="T137" s="72"/>
      <c r="U137" s="72"/>
      <c r="V137" s="72"/>
    </row>
    <row r="138" spans="1:22" ht="27" customHeight="1">
      <c r="A138" s="70"/>
      <c r="B138" s="93">
        <f t="shared" si="4"/>
        <v>5</v>
      </c>
      <c r="C138" s="260">
        <v>411</v>
      </c>
      <c r="D138" s="261" t="s">
        <v>222</v>
      </c>
      <c r="E138" s="264" t="s">
        <v>242</v>
      </c>
      <c r="F138" s="97">
        <f aca="true" t="array" ref="F138">MAX(IF($D$6:$D$127=$D138,$E$6:$E$127))</f>
        <v>0</v>
      </c>
      <c r="G138" s="97">
        <f aca="true" t="array" ref="G138">SUM(IF($D$6:$D$127=$D138,$E$6:$E$127))</f>
        <v>0</v>
      </c>
      <c r="H138" s="95">
        <f aca="true" t="array" ref="H138">COUNT(IF($D$6:$D$127=$D138,$E$6:$E$127))</f>
        <v>0</v>
      </c>
      <c r="I138" s="97">
        <f t="shared" si="2"/>
        <v>0</v>
      </c>
      <c r="J138" s="97">
        <f aca="true" t="array" ref="J138">IF(ISNA(INDEX($D$6:$E$127,MATCH($D138,$D$6:$D$127,0),2)),0,INDEX($D$6:$E$127,MATCH($D138,$D$6:$D$127,0),2))</f>
        <v>0</v>
      </c>
      <c r="K138" s="98">
        <f t="shared" si="3"/>
        <v>0</v>
      </c>
      <c r="L138" s="91"/>
      <c r="M138" s="72"/>
      <c r="N138" s="72"/>
      <c r="O138" s="72"/>
      <c r="P138" s="72"/>
      <c r="Q138" s="72"/>
      <c r="R138" s="72"/>
      <c r="S138" s="72"/>
      <c r="T138" s="72"/>
      <c r="U138" s="72"/>
      <c r="V138" s="72"/>
    </row>
    <row r="139" spans="1:22" ht="27" customHeight="1">
      <c r="A139" s="70"/>
      <c r="B139" s="93">
        <f t="shared" si="4"/>
        <v>6</v>
      </c>
      <c r="C139" s="260">
        <v>3070</v>
      </c>
      <c r="D139" s="261" t="s">
        <v>230</v>
      </c>
      <c r="E139" s="264" t="s">
        <v>231</v>
      </c>
      <c r="F139" s="97">
        <f aca="true" t="array" ref="F139">MAX(IF($D$6:$D$127=$D139,$E$6:$E$127))</f>
        <v>0</v>
      </c>
      <c r="G139" s="97">
        <f aca="true" t="array" ref="G139">SUM(IF($D$6:$D$127=$D139,$E$6:$E$127))</f>
        <v>0</v>
      </c>
      <c r="H139" s="95">
        <f aca="true" t="array" ref="H139">COUNT(IF($D$6:$D$127=$D139,$E$6:$E$127))</f>
        <v>0</v>
      </c>
      <c r="I139" s="97">
        <f t="shared" si="2"/>
        <v>0</v>
      </c>
      <c r="J139" s="97">
        <f aca="true" t="array" ref="J139">IF(ISNA(INDEX($D$6:$E$127,MATCH($D139,$D$6:$D$127,0),2)),0,INDEX($D$6:$E$127,MATCH($D139,$D$6:$D$127,0),2))</f>
        <v>0</v>
      </c>
      <c r="K139" s="98">
        <f t="shared" si="3"/>
        <v>0</v>
      </c>
      <c r="L139" s="91"/>
      <c r="M139" s="72"/>
      <c r="N139" s="72"/>
      <c r="O139" s="72"/>
      <c r="P139" s="72"/>
      <c r="Q139" s="72"/>
      <c r="R139" s="72"/>
      <c r="S139" s="72"/>
      <c r="T139" s="72"/>
      <c r="U139" s="72"/>
      <c r="V139" s="72"/>
    </row>
    <row r="140" spans="1:22" ht="27" customHeight="1">
      <c r="A140" s="70"/>
      <c r="B140" s="93">
        <f t="shared" si="4"/>
        <v>7</v>
      </c>
      <c r="C140" s="260">
        <v>2676</v>
      </c>
      <c r="D140" s="261" t="s">
        <v>226</v>
      </c>
      <c r="E140" s="264" t="s">
        <v>227</v>
      </c>
      <c r="F140" s="97">
        <f aca="true" t="array" ref="F140">MAX(IF($D$6:$D$127=$D140,$E$6:$E$127))</f>
        <v>0</v>
      </c>
      <c r="G140" s="97">
        <f aca="true" t="array" ref="G140">SUM(IF($D$6:$D$127=$D140,$E$6:$E$127))</f>
        <v>0</v>
      </c>
      <c r="H140" s="95">
        <f aca="true" t="array" ref="H140">COUNT(IF($D$6:$D$127=$D140,$E$6:$E$127))</f>
        <v>0</v>
      </c>
      <c r="I140" s="97">
        <f t="shared" si="2"/>
        <v>0</v>
      </c>
      <c r="J140" s="97">
        <f aca="true" t="array" ref="J140">IF(ISNA(INDEX($D$6:$E$127,MATCH($D140,$D$6:$D$127,0),2)),0,INDEX($D$6:$E$127,MATCH($D140,$D$6:$D$127,0),2))</f>
        <v>0</v>
      </c>
      <c r="K140" s="98">
        <f t="shared" si="3"/>
        <v>0</v>
      </c>
      <c r="L140" s="91"/>
      <c r="M140" s="72"/>
      <c r="N140" s="72"/>
      <c r="O140" s="72"/>
      <c r="P140" s="72"/>
      <c r="Q140" s="72"/>
      <c r="R140" s="72"/>
      <c r="S140" s="72"/>
      <c r="T140" s="72"/>
      <c r="U140" s="72"/>
      <c r="V140" s="72"/>
    </row>
    <row r="141" spans="1:22" ht="27" customHeight="1">
      <c r="A141" s="70"/>
      <c r="B141" s="93">
        <f t="shared" si="4"/>
        <v>8</v>
      </c>
      <c r="C141" s="260">
        <v>1716</v>
      </c>
      <c r="D141" s="261" t="s">
        <v>58</v>
      </c>
      <c r="E141" s="264" t="s">
        <v>59</v>
      </c>
      <c r="F141" s="97">
        <f aca="true" t="array" ref="F141">MAX(IF($D$6:$D$127=$D141,$E$6:$E$127))</f>
        <v>0</v>
      </c>
      <c r="G141" s="97">
        <f aca="true" t="array" ref="G141">SUM(IF($D$6:$D$127=$D141,$E$6:$E$127))</f>
        <v>0</v>
      </c>
      <c r="H141" s="95">
        <f aca="true" t="array" ref="H141">COUNT(IF($D$6:$D$127=$D141,$E$6:$E$127))</f>
        <v>0</v>
      </c>
      <c r="I141" s="97">
        <f t="shared" si="2"/>
        <v>0</v>
      </c>
      <c r="J141" s="97">
        <f aca="true" t="array" ref="J141">IF(ISNA(INDEX($D$6:$E$127,MATCH($D141,$D$6:$D$127,0),2)),0,INDEX($D$6:$E$127,MATCH($D141,$D$6:$D$127,0),2))</f>
        <v>0</v>
      </c>
      <c r="K141" s="98">
        <f t="shared" si="3"/>
        <v>0</v>
      </c>
      <c r="L141" s="72"/>
      <c r="M141" s="72"/>
      <c r="N141" s="72"/>
      <c r="O141" s="72"/>
      <c r="P141" s="72"/>
      <c r="Q141" s="72"/>
      <c r="R141" s="72"/>
      <c r="S141" s="72"/>
      <c r="T141" s="72"/>
      <c r="U141" s="72"/>
      <c r="V141" s="72"/>
    </row>
    <row r="142" spans="1:22" ht="27" customHeight="1">
      <c r="A142" s="70"/>
      <c r="B142" s="93">
        <f t="shared" si="4"/>
        <v>9</v>
      </c>
      <c r="C142" s="260">
        <v>4102</v>
      </c>
      <c r="D142" s="267" t="s">
        <v>240</v>
      </c>
      <c r="E142" s="264" t="s">
        <v>241</v>
      </c>
      <c r="F142" s="97">
        <f aca="true" t="array" ref="F142">MAX(IF($D$6:$D$127=$D142,$E$6:$E$127))</f>
        <v>0</v>
      </c>
      <c r="G142" s="97">
        <f aca="true" t="array" ref="G142">SUM(IF($D$6:$D$127=$D142,$E$6:$E$127))</f>
        <v>0</v>
      </c>
      <c r="H142" s="97">
        <f aca="true" t="array" ref="H142">COUNT(IF($D$6:$D$127=$D142,$E$6:$E$127))</f>
        <v>0</v>
      </c>
      <c r="I142" s="97">
        <f t="shared" si="2"/>
        <v>0</v>
      </c>
      <c r="J142" s="97">
        <f aca="true" t="array" ref="J142">IF(ISNA(INDEX($D$6:$E$127,MATCH($D142,$D$6:$D$127,0),2)),0,INDEX($D$6:$E$127,MATCH($D142,$D$6:$D$127,0),2))</f>
        <v>0</v>
      </c>
      <c r="K142" s="98">
        <f t="shared" si="3"/>
        <v>0</v>
      </c>
      <c r="L142" s="72"/>
      <c r="M142" s="72"/>
      <c r="N142" s="72"/>
      <c r="O142" s="72"/>
      <c r="P142" s="72"/>
      <c r="Q142" s="72"/>
      <c r="R142" s="72"/>
      <c r="S142" s="72"/>
      <c r="T142" s="72"/>
      <c r="U142" s="72"/>
      <c r="V142" s="72"/>
    </row>
    <row r="143" spans="1:22" ht="27" customHeight="1">
      <c r="A143" s="70"/>
      <c r="B143" s="93">
        <f t="shared" si="4"/>
        <v>10</v>
      </c>
      <c r="C143" s="260">
        <v>2828</v>
      </c>
      <c r="D143" s="261" t="s">
        <v>228</v>
      </c>
      <c r="E143" s="264" t="s">
        <v>229</v>
      </c>
      <c r="F143" s="97">
        <f aca="true" t="array" ref="F143">MAX(IF($D$6:$D$127=$D143,$E$6:$E$127))</f>
        <v>0</v>
      </c>
      <c r="G143" s="97">
        <f aca="true" t="array" ref="G143">SUM(IF($D$6:$D$127=$D143,$E$6:$E$127))</f>
        <v>0</v>
      </c>
      <c r="H143" s="95">
        <f aca="true" t="array" ref="H143">COUNT(IF($D$6:$D$127=$D143,$E$6:$E$127))</f>
        <v>0</v>
      </c>
      <c r="I143" s="97">
        <f t="shared" si="2"/>
        <v>0</v>
      </c>
      <c r="J143" s="97">
        <f aca="true" t="array" ref="J143">IF(ISNA(INDEX($D$6:$E$127,MATCH($D143,$D$6:$D$127,0),2)),0,INDEX($D$6:$E$127,MATCH($D143,$D$6:$D$127,0),2))</f>
        <v>0</v>
      </c>
      <c r="K143" s="98">
        <f t="shared" si="3"/>
        <v>0</v>
      </c>
      <c r="L143" s="72"/>
      <c r="M143" s="72"/>
      <c r="N143" s="72"/>
      <c r="O143" s="72"/>
      <c r="P143" s="72"/>
      <c r="Q143" s="72"/>
      <c r="R143" s="72"/>
      <c r="S143" s="72"/>
      <c r="T143" s="72"/>
      <c r="U143" s="72"/>
      <c r="V143" s="72"/>
    </row>
    <row r="144" spans="1:22" ht="27" customHeight="1">
      <c r="A144" s="70"/>
      <c r="B144" s="93">
        <f t="shared" si="4"/>
        <v>11</v>
      </c>
      <c r="C144" s="260">
        <v>3808</v>
      </c>
      <c r="D144" s="261" t="s">
        <v>236</v>
      </c>
      <c r="E144" s="264" t="s">
        <v>237</v>
      </c>
      <c r="F144" s="97">
        <f aca="true" t="array" ref="F144">MAX(IF($D$6:$D$127=$D144,$E$6:$E$127))</f>
        <v>0</v>
      </c>
      <c r="G144" s="97">
        <f aca="true" t="array" ref="G144">SUM(IF($D$6:$D$127=$D144,$E$6:$E$127))</f>
        <v>0</v>
      </c>
      <c r="H144" s="95">
        <f aca="true" t="array" ref="H144">COUNT(IF($D$6:$D$127=$D144,$E$6:$E$127))</f>
        <v>0</v>
      </c>
      <c r="I144" s="97">
        <f t="shared" si="2"/>
        <v>0</v>
      </c>
      <c r="J144" s="97">
        <f aca="true" t="array" ref="J144">IF(ISNA(INDEX($D$6:$E$127,MATCH($D144,$D$6:$D$127,0),2)),0,INDEX($D$6:$E$127,MATCH($D144,$D$6:$D$127,0),2))</f>
        <v>0</v>
      </c>
      <c r="K144" s="98">
        <f t="shared" si="3"/>
        <v>0</v>
      </c>
      <c r="L144" s="72"/>
      <c r="M144" s="72"/>
      <c r="N144" s="72"/>
      <c r="O144" s="72"/>
      <c r="P144" s="72"/>
      <c r="Q144" s="72"/>
      <c r="R144" s="72"/>
      <c r="S144" s="72"/>
      <c r="T144" s="72"/>
      <c r="U144" s="72"/>
      <c r="V144" s="72"/>
    </row>
    <row r="145" spans="1:22" ht="27" customHeight="1" thickBot="1">
      <c r="A145" s="70"/>
      <c r="B145" s="93">
        <f t="shared" si="4"/>
        <v>12</v>
      </c>
      <c r="C145" s="262">
        <v>1998</v>
      </c>
      <c r="D145" s="266" t="s">
        <v>224</v>
      </c>
      <c r="E145" s="265" t="s">
        <v>225</v>
      </c>
      <c r="F145" s="97">
        <f aca="true" t="array" ref="F145">MAX(IF($D$6:$D$127=$D145,$E$6:$E$127))</f>
        <v>0</v>
      </c>
      <c r="G145" s="97">
        <f aca="true" t="array" ref="G145">SUM(IF($D$6:$D$127=$D145,$E$6:$E$127))</f>
        <v>0</v>
      </c>
      <c r="H145" s="95">
        <f aca="true" t="array" ref="H145">COUNT(IF($D$6:$D$127=$D145,$E$6:$E$127))</f>
        <v>0</v>
      </c>
      <c r="I145" s="97">
        <f t="shared" si="2"/>
        <v>0</v>
      </c>
      <c r="J145" s="97">
        <f aca="true" t="array" ref="J145">IF(ISNA(INDEX($D$6:$E$127,MATCH($D145,$D$6:$D$127,0),2)),0,INDEX($D$6:$E$127,MATCH($D145,$D$6:$D$127,0),2))</f>
        <v>0</v>
      </c>
      <c r="K145" s="98">
        <f t="shared" si="3"/>
        <v>0</v>
      </c>
      <c r="L145" s="72"/>
      <c r="M145" s="72"/>
      <c r="N145" s="72"/>
      <c r="O145" s="72"/>
      <c r="P145" s="72"/>
      <c r="Q145" s="72"/>
      <c r="R145" s="72"/>
      <c r="S145" s="72"/>
      <c r="T145" s="72"/>
      <c r="U145" s="72"/>
      <c r="V145" s="72"/>
    </row>
    <row r="146" spans="1:22" ht="27" customHeight="1">
      <c r="A146" s="70"/>
      <c r="B146" s="93">
        <f t="shared" si="4"/>
        <v>13</v>
      </c>
      <c r="C146" s="238"/>
      <c r="D146" s="239" t="s">
        <v>243</v>
      </c>
      <c r="E146" s="240"/>
      <c r="F146" s="97">
        <f aca="true" t="array" ref="F146">MAX(IF($D$6:$D$127=$D146,$E$6:$E$127))</f>
        <v>0</v>
      </c>
      <c r="G146" s="97">
        <f aca="true" t="array" ref="G146">SUM(IF($D$6:$D$127=$D146,$E$6:$E$127))</f>
        <v>0</v>
      </c>
      <c r="H146" s="95">
        <f aca="true" t="array" ref="H146">COUNT(IF($D$6:$D$127=$D146,$E$6:$E$127))</f>
        <v>0</v>
      </c>
      <c r="I146" s="97">
        <f t="shared" si="2"/>
        <v>0</v>
      </c>
      <c r="J146" s="97">
        <f aca="true" t="array" ref="J146">IF(ISNA(INDEX($D$6:$E$127,MATCH($D146,$D$6:$D$127,0),2)),0,INDEX($D$6:$E$127,MATCH($D146,$D$6:$D$127,0),2))</f>
        <v>0</v>
      </c>
      <c r="K146" s="98">
        <f t="shared" si="3"/>
        <v>0</v>
      </c>
      <c r="L146" s="72"/>
      <c r="M146" s="72"/>
      <c r="N146" s="72"/>
      <c r="O146" s="72"/>
      <c r="P146" s="72"/>
      <c r="Q146" s="72"/>
      <c r="R146" s="72"/>
      <c r="S146" s="72"/>
      <c r="T146" s="72"/>
      <c r="U146" s="72"/>
      <c r="V146" s="72"/>
    </row>
    <row r="147" spans="1:22" ht="27" customHeight="1">
      <c r="A147" s="70"/>
      <c r="B147" s="93">
        <f t="shared" si="4"/>
        <v>14</v>
      </c>
      <c r="C147" s="238"/>
      <c r="D147" s="239" t="s">
        <v>244</v>
      </c>
      <c r="E147" s="240"/>
      <c r="F147" s="97">
        <f aca="true" t="array" ref="F147">MAX(IF($D$6:$D$127=$D147,$E$6:$E$127))</f>
        <v>0</v>
      </c>
      <c r="G147" s="97">
        <f aca="true" t="array" ref="G147">SUM(IF($D$6:$D$127=$D147,$E$6:$E$127))</f>
        <v>0</v>
      </c>
      <c r="H147" s="95">
        <f aca="true" t="array" ref="H147">COUNT(IF($D$6:$D$127=$D147,$E$6:$E$127))</f>
        <v>0</v>
      </c>
      <c r="I147" s="97">
        <f t="shared" si="2"/>
        <v>0</v>
      </c>
      <c r="J147" s="97">
        <f aca="true" t="array" ref="J147">IF(ISNA(INDEX($D$6:$E$127,MATCH($D147,$D$6:$D$127,0),2)),0,INDEX($D$6:$E$127,MATCH($D147,$D$6:$D$127,0),2))</f>
        <v>0</v>
      </c>
      <c r="K147" s="98">
        <f t="shared" si="3"/>
        <v>0</v>
      </c>
      <c r="L147" s="72"/>
      <c r="M147" s="72"/>
      <c r="N147" s="72"/>
      <c r="O147" s="72"/>
      <c r="P147" s="72"/>
      <c r="Q147" s="72"/>
      <c r="R147" s="72"/>
      <c r="S147" s="72"/>
      <c r="T147" s="72"/>
      <c r="U147" s="72"/>
      <c r="V147" s="72"/>
    </row>
    <row r="148" spans="1:22" ht="27" customHeight="1">
      <c r="A148" s="70"/>
      <c r="B148" s="93">
        <f t="shared" si="4"/>
        <v>15</v>
      </c>
      <c r="C148" s="238"/>
      <c r="D148" s="239" t="s">
        <v>245</v>
      </c>
      <c r="E148" s="240"/>
      <c r="F148" s="97">
        <f aca="true" t="array" ref="F148">MAX(IF($D$6:$D$127=$D148,$E$6:$E$127))</f>
        <v>0</v>
      </c>
      <c r="G148" s="97">
        <f aca="true" t="array" ref="G148">SUM(IF($D$6:$D$127=$D148,$E$6:$E$127))</f>
        <v>0</v>
      </c>
      <c r="H148" s="95">
        <f aca="true" t="array" ref="H148">COUNT(IF($D$6:$D$127=$D148,$E$6:$E$127))</f>
        <v>0</v>
      </c>
      <c r="I148" s="97">
        <f t="shared" si="2"/>
        <v>0</v>
      </c>
      <c r="J148" s="97">
        <f aca="true" t="array" ref="J148">IF(ISNA(INDEX($D$6:$E$127,MATCH($D148,$D$6:$D$127,0),2)),0,INDEX($D$6:$E$127,MATCH($D148,$D$6:$D$127,0),2))</f>
        <v>0</v>
      </c>
      <c r="K148" s="98">
        <f t="shared" si="3"/>
        <v>0</v>
      </c>
      <c r="L148" s="72"/>
      <c r="M148" s="72"/>
      <c r="N148" s="72"/>
      <c r="O148" s="72"/>
      <c r="P148" s="72"/>
      <c r="Q148" s="72"/>
      <c r="R148" s="72"/>
      <c r="S148" s="72"/>
      <c r="T148" s="72"/>
      <c r="U148" s="72"/>
      <c r="V148" s="72"/>
    </row>
    <row r="149" spans="1:22" ht="27" customHeight="1">
      <c r="A149" s="70"/>
      <c r="B149" s="93">
        <f t="shared" si="4"/>
        <v>16</v>
      </c>
      <c r="C149" s="238"/>
      <c r="D149" s="239" t="s">
        <v>246</v>
      </c>
      <c r="E149" s="240"/>
      <c r="F149" s="97">
        <f aca="true" t="array" ref="F149">MAX(IF($D$6:$D$127=$D149,$E$6:$E$127))</f>
        <v>0</v>
      </c>
      <c r="G149" s="97">
        <f aca="true" t="array" ref="G149">SUM(IF($D$6:$D$127=$D149,$E$6:$E$127))</f>
        <v>0</v>
      </c>
      <c r="H149" s="95">
        <f aca="true" t="array" ref="H149">COUNT(IF($D$6:$D$127=$D149,$E$6:$E$127))</f>
        <v>0</v>
      </c>
      <c r="I149" s="97">
        <f t="shared" si="2"/>
        <v>0</v>
      </c>
      <c r="J149" s="97">
        <f aca="true" t="array" ref="J149">IF(ISNA(INDEX($D$6:$E$127,MATCH($D149,$D$6:$D$127,0),2)),0,INDEX($D$6:$E$127,MATCH($D149,$D$6:$D$127,0),2))</f>
        <v>0</v>
      </c>
      <c r="K149" s="98">
        <f t="shared" si="3"/>
        <v>0</v>
      </c>
      <c r="L149" s="72"/>
      <c r="M149" s="72"/>
      <c r="N149" s="72"/>
      <c r="O149" s="72"/>
      <c r="P149" s="72"/>
      <c r="Q149" s="72"/>
      <c r="R149" s="72"/>
      <c r="S149" s="72"/>
      <c r="T149" s="72"/>
      <c r="U149" s="72"/>
      <c r="V149" s="72"/>
    </row>
    <row r="150" spans="1:22" ht="27" customHeight="1">
      <c r="A150" s="70"/>
      <c r="B150" s="93">
        <f t="shared" si="4"/>
        <v>17</v>
      </c>
      <c r="C150" s="238"/>
      <c r="D150" s="239" t="s">
        <v>247</v>
      </c>
      <c r="E150" s="240"/>
      <c r="F150" s="97">
        <f aca="true" t="array" ref="F150">MAX(IF($D$6:$D$127=$D150,$E$6:$E$127))</f>
        <v>0</v>
      </c>
      <c r="G150" s="97">
        <f aca="true" t="array" ref="G150">SUM(IF($D$6:$D$127=$D150,$E$6:$E$127))</f>
        <v>0</v>
      </c>
      <c r="H150" s="97">
        <f aca="true" t="array" ref="H150">COUNT(IF($D$6:$D$127=$D150,$E$6:$E$127))</f>
        <v>0</v>
      </c>
      <c r="I150" s="97">
        <f t="shared" si="2"/>
        <v>0</v>
      </c>
      <c r="J150" s="97">
        <f aca="true" t="array" ref="J150">IF(ISNA(INDEX($D$6:$E$127,MATCH($D150,$D$6:$D$127,0),2)),0,INDEX($D$6:$E$127,MATCH($D150,$D$6:$D$127,0),2))</f>
        <v>0</v>
      </c>
      <c r="K150" s="98">
        <f t="shared" si="3"/>
        <v>0</v>
      </c>
      <c r="L150" s="72"/>
      <c r="M150" s="72"/>
      <c r="N150" s="72"/>
      <c r="O150" s="72"/>
      <c r="P150" s="72"/>
      <c r="Q150" s="72"/>
      <c r="R150" s="72"/>
      <c r="S150" s="72"/>
      <c r="T150" s="72"/>
      <c r="U150" s="72"/>
      <c r="V150" s="72"/>
    </row>
    <row r="151" spans="1:22" ht="27" customHeight="1">
      <c r="A151" s="70"/>
      <c r="B151" s="93">
        <f t="shared" si="4"/>
        <v>18</v>
      </c>
      <c r="C151" s="238"/>
      <c r="D151" s="239" t="s">
        <v>60</v>
      </c>
      <c r="E151" s="240"/>
      <c r="F151" s="97">
        <f aca="true" t="array" ref="F151">MAX(IF($D$6:$D$127=$D151,$E$6:$E$127))</f>
        <v>0</v>
      </c>
      <c r="G151" s="97">
        <f aca="true" t="array" ref="G151">SUM(IF($D$6:$D$127=$D151,$E$6:$E$127))</f>
        <v>0</v>
      </c>
      <c r="H151" s="95">
        <f aca="true" t="array" ref="H151">COUNT(IF($D$6:$D$127=$D151,$E$6:$E$127))</f>
        <v>0</v>
      </c>
      <c r="I151" s="97">
        <f t="shared" si="2"/>
        <v>0</v>
      </c>
      <c r="J151" s="97">
        <f aca="true" t="array" ref="J151">IF(ISNA(INDEX($D$6:$E$127,MATCH($D151,$D$6:$D$127,0),2)),0,INDEX($D$6:$E$127,MATCH($D151,$D$6:$D$127,0),2))</f>
        <v>0</v>
      </c>
      <c r="K151" s="98">
        <f t="shared" si="3"/>
        <v>0</v>
      </c>
      <c r="L151" s="72"/>
      <c r="M151" s="72"/>
      <c r="N151" s="72"/>
      <c r="O151" s="72"/>
      <c r="P151" s="72"/>
      <c r="Q151" s="72"/>
      <c r="R151" s="72"/>
      <c r="S151" s="72"/>
      <c r="T151" s="72"/>
      <c r="U151" s="72"/>
      <c r="V151" s="72"/>
    </row>
    <row r="152" spans="1:22" ht="27" customHeight="1">
      <c r="A152" s="70"/>
      <c r="B152" s="93">
        <f t="shared" si="4"/>
        <v>19</v>
      </c>
      <c r="C152" s="238"/>
      <c r="D152" s="239" t="s">
        <v>61</v>
      </c>
      <c r="E152" s="240"/>
      <c r="F152" s="97">
        <f aca="true" t="array" ref="F152">MAX(IF($D$6:$D$127=$D152,$E$6:$E$127))</f>
        <v>0</v>
      </c>
      <c r="G152" s="97">
        <f aca="true" t="array" ref="G152">SUM(IF($D$6:$D$127=$D152,$E$6:$E$127))</f>
        <v>0</v>
      </c>
      <c r="H152" s="95">
        <f aca="true" t="array" ref="H152">COUNT(IF($D$6:$D$127=$D152,$E$6:$E$127))</f>
        <v>0</v>
      </c>
      <c r="I152" s="97">
        <f t="shared" si="2"/>
        <v>0</v>
      </c>
      <c r="J152" s="97">
        <f aca="true" t="array" ref="J152">IF(ISNA(INDEX($D$6:$E$127,MATCH($D152,$D$6:$D$127,0),2)),0,INDEX($D$6:$E$127,MATCH($D152,$D$6:$D$127,0),2))</f>
        <v>0</v>
      </c>
      <c r="K152" s="98">
        <f t="shared" si="3"/>
        <v>0</v>
      </c>
      <c r="L152" s="72"/>
      <c r="M152" s="72"/>
      <c r="N152" s="72"/>
      <c r="O152" s="72"/>
      <c r="P152" s="72"/>
      <c r="Q152" s="72"/>
      <c r="R152" s="72"/>
      <c r="S152" s="72"/>
      <c r="T152" s="72"/>
      <c r="U152" s="72"/>
      <c r="V152" s="72"/>
    </row>
    <row r="153" spans="1:22" ht="27" customHeight="1" thickBot="1">
      <c r="A153" s="70"/>
      <c r="B153" s="99">
        <f t="shared" si="4"/>
        <v>20</v>
      </c>
      <c r="C153" s="241"/>
      <c r="D153" s="242" t="s">
        <v>62</v>
      </c>
      <c r="E153" s="243"/>
      <c r="F153" s="100">
        <f aca="true" t="array" ref="F153">MAX(IF($D$6:$D$127=$D153,$E$6:$E$127))</f>
        <v>0</v>
      </c>
      <c r="G153" s="100">
        <f aca="true" t="array" ref="G153">SUM(IF($D$6:$D$127=$D153,$E$6:$E$127))</f>
        <v>0</v>
      </c>
      <c r="H153" s="101">
        <f aca="true" t="array" ref="H153">COUNT(IF($D$6:$D$127=$D153,$E$6:$E$127))</f>
        <v>0</v>
      </c>
      <c r="I153" s="100">
        <f t="shared" si="2"/>
        <v>0</v>
      </c>
      <c r="J153" s="100">
        <f aca="true" t="array" ref="J153">IF(ISNA(INDEX($D$6:$E$127,MATCH($D153,$D$6:$D$127,0),2)),0,INDEX($D$6:$E$127,MATCH($D153,$D$6:$D$127,0),2))</f>
        <v>0</v>
      </c>
      <c r="K153" s="102">
        <f t="shared" si="3"/>
        <v>0</v>
      </c>
      <c r="L153" s="72"/>
      <c r="M153" s="72"/>
      <c r="N153" s="72"/>
      <c r="O153" s="72"/>
      <c r="P153" s="72"/>
      <c r="Q153" s="72"/>
      <c r="R153" s="72"/>
      <c r="S153" s="72"/>
      <c r="T153" s="72"/>
      <c r="U153" s="72"/>
      <c r="V153" s="72"/>
    </row>
    <row r="154" spans="1:22" ht="27" customHeight="1">
      <c r="A154" s="70"/>
      <c r="B154" s="70"/>
      <c r="C154" s="72"/>
      <c r="D154" s="103"/>
      <c r="E154" s="104"/>
      <c r="K154" s="72"/>
      <c r="L154" s="72"/>
      <c r="M154" s="72"/>
      <c r="N154" s="72"/>
      <c r="O154" s="72"/>
      <c r="P154" s="72"/>
      <c r="Q154" s="72"/>
      <c r="R154" s="72"/>
      <c r="S154" s="72"/>
      <c r="T154" s="72"/>
      <c r="U154" s="72"/>
      <c r="V154" s="72"/>
    </row>
    <row r="155" spans="1:22" ht="18.75" customHeight="1">
      <c r="A155" s="70"/>
      <c r="B155" s="72"/>
      <c r="C155" s="72"/>
      <c r="D155" s="70"/>
      <c r="E155" s="72"/>
      <c r="F155" s="72"/>
      <c r="G155" s="72"/>
      <c r="H155" s="72"/>
      <c r="I155" s="72"/>
      <c r="J155" s="72"/>
      <c r="K155" s="72"/>
      <c r="L155" s="72"/>
      <c r="M155" s="72"/>
      <c r="N155" s="72"/>
      <c r="O155" s="72"/>
      <c r="P155" s="72"/>
      <c r="Q155" s="72"/>
      <c r="R155" s="72"/>
      <c r="S155" s="72"/>
      <c r="T155" s="72"/>
      <c r="U155" s="72"/>
      <c r="V155" s="72"/>
    </row>
    <row r="156" spans="1:22" ht="18.75" customHeight="1">
      <c r="A156" s="70"/>
      <c r="B156" s="72"/>
      <c r="C156" s="72" t="s">
        <v>63</v>
      </c>
      <c r="D156" s="309" t="s">
        <v>64</v>
      </c>
      <c r="E156" s="309"/>
      <c r="F156" s="309"/>
      <c r="G156" s="309"/>
      <c r="H156" s="309"/>
      <c r="I156" s="309"/>
      <c r="J156" s="309"/>
      <c r="K156" s="309"/>
      <c r="L156" s="309"/>
      <c r="M156" s="309"/>
      <c r="N156" s="309"/>
      <c r="O156" s="309"/>
      <c r="P156" s="72"/>
      <c r="Q156" s="72"/>
      <c r="R156" s="72"/>
      <c r="S156" s="72"/>
      <c r="T156" s="72"/>
      <c r="U156" s="72"/>
      <c r="V156" s="72"/>
    </row>
    <row r="157" spans="1:22" ht="18.75" customHeight="1">
      <c r="A157" s="70"/>
      <c r="B157" s="72"/>
      <c r="C157" s="72"/>
      <c r="D157" s="309" t="s">
        <v>65</v>
      </c>
      <c r="E157" s="309"/>
      <c r="F157" s="309"/>
      <c r="G157" s="309"/>
      <c r="H157" s="309"/>
      <c r="I157" s="309"/>
      <c r="J157" s="309"/>
      <c r="K157" s="309"/>
      <c r="L157" s="309"/>
      <c r="M157" s="309"/>
      <c r="N157" s="309"/>
      <c r="O157" s="309"/>
      <c r="P157" s="72"/>
      <c r="Q157" s="72"/>
      <c r="R157" s="72"/>
      <c r="S157" s="72"/>
      <c r="T157" s="72"/>
      <c r="U157" s="72"/>
      <c r="V157" s="72"/>
    </row>
    <row r="158" spans="4:14" ht="18.75" customHeight="1">
      <c r="D158" s="105" t="s">
        <v>66</v>
      </c>
      <c r="E158" s="105"/>
      <c r="F158" s="105"/>
      <c r="G158" s="105"/>
      <c r="H158" s="105"/>
      <c r="I158" s="105"/>
      <c r="J158" s="105"/>
      <c r="K158" s="105"/>
      <c r="L158" s="105"/>
      <c r="M158" s="105"/>
      <c r="N158" s="105"/>
    </row>
    <row r="159" ht="18.75" customHeight="1"/>
    <row r="160" ht="18.75" customHeight="1"/>
    <row r="161" ht="18.75" customHeight="1"/>
  </sheetData>
  <sheetProtection/>
  <mergeCells count="213">
    <mergeCell ref="R3:S3"/>
    <mergeCell ref="H5:I5"/>
    <mergeCell ref="J5:K5"/>
    <mergeCell ref="L5:M5"/>
    <mergeCell ref="N5:O5"/>
    <mergeCell ref="R5:S5"/>
    <mergeCell ref="H3:I3"/>
    <mergeCell ref="J3:K3"/>
    <mergeCell ref="L3:M3"/>
    <mergeCell ref="N3:O3"/>
    <mergeCell ref="R8:S8"/>
    <mergeCell ref="H11:I11"/>
    <mergeCell ref="J11:K11"/>
    <mergeCell ref="L11:M11"/>
    <mergeCell ref="N11:O11"/>
    <mergeCell ref="R11:S11"/>
    <mergeCell ref="H8:I8"/>
    <mergeCell ref="J8:K8"/>
    <mergeCell ref="L8:M8"/>
    <mergeCell ref="N8:O8"/>
    <mergeCell ref="R14:S14"/>
    <mergeCell ref="H17:I17"/>
    <mergeCell ref="J17:K17"/>
    <mergeCell ref="L17:M17"/>
    <mergeCell ref="N17:O17"/>
    <mergeCell ref="R17:S17"/>
    <mergeCell ref="H14:I14"/>
    <mergeCell ref="J14:K14"/>
    <mergeCell ref="L14:M14"/>
    <mergeCell ref="N14:O14"/>
    <mergeCell ref="R20:S20"/>
    <mergeCell ref="H23:I23"/>
    <mergeCell ref="J23:K23"/>
    <mergeCell ref="L23:M23"/>
    <mergeCell ref="N23:O23"/>
    <mergeCell ref="R23:S23"/>
    <mergeCell ref="H20:I20"/>
    <mergeCell ref="J20:K20"/>
    <mergeCell ref="L20:M20"/>
    <mergeCell ref="N20:O20"/>
    <mergeCell ref="R26:S26"/>
    <mergeCell ref="H29:I29"/>
    <mergeCell ref="J29:K29"/>
    <mergeCell ref="L29:M29"/>
    <mergeCell ref="N29:O29"/>
    <mergeCell ref="R29:S29"/>
    <mergeCell ref="H26:I26"/>
    <mergeCell ref="J26:K26"/>
    <mergeCell ref="L26:M26"/>
    <mergeCell ref="N26:O26"/>
    <mergeCell ref="R32:S32"/>
    <mergeCell ref="H35:I35"/>
    <mergeCell ref="J35:K35"/>
    <mergeCell ref="L35:M35"/>
    <mergeCell ref="N35:O35"/>
    <mergeCell ref="R35:S35"/>
    <mergeCell ref="H32:I32"/>
    <mergeCell ref="J32:K32"/>
    <mergeCell ref="L32:M32"/>
    <mergeCell ref="N32:O32"/>
    <mergeCell ref="R38:S38"/>
    <mergeCell ref="H41:I41"/>
    <mergeCell ref="J41:K41"/>
    <mergeCell ref="L41:M41"/>
    <mergeCell ref="N41:O41"/>
    <mergeCell ref="R41:S41"/>
    <mergeCell ref="H38:I38"/>
    <mergeCell ref="J38:K38"/>
    <mergeCell ref="L38:M38"/>
    <mergeCell ref="N38:O38"/>
    <mergeCell ref="R44:S44"/>
    <mergeCell ref="H47:I47"/>
    <mergeCell ref="J47:K47"/>
    <mergeCell ref="L47:M47"/>
    <mergeCell ref="N47:O47"/>
    <mergeCell ref="R47:S47"/>
    <mergeCell ref="H44:I44"/>
    <mergeCell ref="J44:K44"/>
    <mergeCell ref="L44:M44"/>
    <mergeCell ref="N44:O44"/>
    <mergeCell ref="R50:S50"/>
    <mergeCell ref="H53:I53"/>
    <mergeCell ref="J53:K53"/>
    <mergeCell ref="L53:M53"/>
    <mergeCell ref="N53:O53"/>
    <mergeCell ref="R53:S53"/>
    <mergeCell ref="H50:I50"/>
    <mergeCell ref="J50:K50"/>
    <mergeCell ref="L50:M50"/>
    <mergeCell ref="N50:O50"/>
    <mergeCell ref="R56:S56"/>
    <mergeCell ref="H59:I59"/>
    <mergeCell ref="J59:K59"/>
    <mergeCell ref="L59:M59"/>
    <mergeCell ref="N59:O59"/>
    <mergeCell ref="R59:S59"/>
    <mergeCell ref="H56:I56"/>
    <mergeCell ref="J56:K56"/>
    <mergeCell ref="L56:M56"/>
    <mergeCell ref="N56:O56"/>
    <mergeCell ref="R62:S62"/>
    <mergeCell ref="H65:I65"/>
    <mergeCell ref="J65:K65"/>
    <mergeCell ref="L65:M65"/>
    <mergeCell ref="N65:O65"/>
    <mergeCell ref="R65:S65"/>
    <mergeCell ref="H62:I62"/>
    <mergeCell ref="J62:K62"/>
    <mergeCell ref="L62:M62"/>
    <mergeCell ref="N62:O62"/>
    <mergeCell ref="R68:S68"/>
    <mergeCell ref="H71:I71"/>
    <mergeCell ref="J71:K71"/>
    <mergeCell ref="L71:M71"/>
    <mergeCell ref="N71:O71"/>
    <mergeCell ref="R71:S71"/>
    <mergeCell ref="H68:I68"/>
    <mergeCell ref="J68:K68"/>
    <mergeCell ref="L68:M68"/>
    <mergeCell ref="N68:O68"/>
    <mergeCell ref="R74:S74"/>
    <mergeCell ref="H77:I77"/>
    <mergeCell ref="J77:K77"/>
    <mergeCell ref="L77:M77"/>
    <mergeCell ref="N77:O77"/>
    <mergeCell ref="R77:S77"/>
    <mergeCell ref="H74:I74"/>
    <mergeCell ref="J74:K74"/>
    <mergeCell ref="L74:M74"/>
    <mergeCell ref="N74:O74"/>
    <mergeCell ref="R80:S80"/>
    <mergeCell ref="H83:I83"/>
    <mergeCell ref="J83:K83"/>
    <mergeCell ref="L83:M83"/>
    <mergeCell ref="N83:O83"/>
    <mergeCell ref="R83:S83"/>
    <mergeCell ref="H80:I80"/>
    <mergeCell ref="J80:K80"/>
    <mergeCell ref="L80:M80"/>
    <mergeCell ref="N80:O80"/>
    <mergeCell ref="R86:S86"/>
    <mergeCell ref="H89:I89"/>
    <mergeCell ref="J89:K89"/>
    <mergeCell ref="L89:M89"/>
    <mergeCell ref="N89:O89"/>
    <mergeCell ref="R89:S89"/>
    <mergeCell ref="H86:I86"/>
    <mergeCell ref="J86:K86"/>
    <mergeCell ref="L86:M86"/>
    <mergeCell ref="N86:O86"/>
    <mergeCell ref="R92:S92"/>
    <mergeCell ref="H95:I95"/>
    <mergeCell ref="J95:K95"/>
    <mergeCell ref="L95:M95"/>
    <mergeCell ref="N95:O95"/>
    <mergeCell ref="R95:S95"/>
    <mergeCell ref="H92:I92"/>
    <mergeCell ref="J92:K92"/>
    <mergeCell ref="L92:M92"/>
    <mergeCell ref="N92:O92"/>
    <mergeCell ref="R98:S98"/>
    <mergeCell ref="H101:I101"/>
    <mergeCell ref="J101:K101"/>
    <mergeCell ref="L101:M101"/>
    <mergeCell ref="N101:O101"/>
    <mergeCell ref="R101:S101"/>
    <mergeCell ref="H98:I98"/>
    <mergeCell ref="J98:K98"/>
    <mergeCell ref="L98:M98"/>
    <mergeCell ref="N98:O98"/>
    <mergeCell ref="R104:S104"/>
    <mergeCell ref="H107:I107"/>
    <mergeCell ref="J107:K107"/>
    <mergeCell ref="L107:M107"/>
    <mergeCell ref="N107:O107"/>
    <mergeCell ref="R107:S107"/>
    <mergeCell ref="H104:I104"/>
    <mergeCell ref="J104:K104"/>
    <mergeCell ref="L104:M104"/>
    <mergeCell ref="N104:O104"/>
    <mergeCell ref="R110:S110"/>
    <mergeCell ref="H113:I113"/>
    <mergeCell ref="J113:K113"/>
    <mergeCell ref="L113:M113"/>
    <mergeCell ref="N113:O113"/>
    <mergeCell ref="R113:S113"/>
    <mergeCell ref="H110:I110"/>
    <mergeCell ref="J110:K110"/>
    <mergeCell ref="L110:M110"/>
    <mergeCell ref="N110:O110"/>
    <mergeCell ref="H116:I116"/>
    <mergeCell ref="J116:K116"/>
    <mergeCell ref="L116:M116"/>
    <mergeCell ref="N116:O116"/>
    <mergeCell ref="H119:I119"/>
    <mergeCell ref="J119:K119"/>
    <mergeCell ref="L119:M119"/>
    <mergeCell ref="N119:O119"/>
    <mergeCell ref="J122:K122"/>
    <mergeCell ref="L122:M122"/>
    <mergeCell ref="N122:O122"/>
    <mergeCell ref="R116:S116"/>
    <mergeCell ref="R119:S119"/>
    <mergeCell ref="D129:O129"/>
    <mergeCell ref="D156:O156"/>
    <mergeCell ref="D157:O157"/>
    <mergeCell ref="R122:S122"/>
    <mergeCell ref="H125:I125"/>
    <mergeCell ref="J125:K125"/>
    <mergeCell ref="L125:M125"/>
    <mergeCell ref="N125:O125"/>
    <mergeCell ref="R125:S125"/>
    <mergeCell ref="H122:I122"/>
  </mergeCells>
  <conditionalFormatting sqref="F134:K153">
    <cfRule type="cellIs" priority="1" dxfId="0" operator="equal" stopIfTrue="1">
      <formula>F$131</formula>
    </cfRule>
    <cfRule type="cellIs" priority="2" dxfId="1" operator="equal" stopIfTrue="1">
      <formula>F$132</formula>
    </cfRule>
  </conditionalFormatting>
  <conditionalFormatting sqref="T6:U6">
    <cfRule type="expression" priority="3" dxfId="2" stopIfTrue="1">
      <formula>AND($T6="Y",$U6="Y")</formula>
    </cfRule>
  </conditionalFormatting>
  <conditionalFormatting sqref="E6:E7 E9:E10 E12:E13 E15:E16 E18:E19 E21:E22 E24:E25 E27:E28 E30:E31 E33:E34 E36:E37 E39:E40 E42:E43 E45:E46 E48:E49 E51:E52 E54:E55 E57:E58 E60:E61 E63:E64 E66:E67 E69:E70 E72:E73 E75:E76 E78:E79 E81:E82 E84:E85 E87:E88 E90:E91 E93:E94 E96:E97 E99:E100 E102:E103 E105:E106 E108:E109 E111:E112 E114:E115 E117:E118 E120:E121 E123:E124 E126:E127">
    <cfRule type="cellIs" priority="4" dxfId="3" operator="equal" stopIfTrue="1">
      <formula>"Error"</formula>
    </cfRule>
    <cfRule type="cellIs" priority="5" dxfId="4" operator="equal" stopIfTrue="1">
      <formula>0</formula>
    </cfRule>
  </conditionalFormatting>
  <conditionalFormatting sqref="F6:G7 F9:G10 F12:G13 F15:G16 F18:G19 F21:G22 F24:G25 F27:G28 F30:G31 F33:G34 F36:G37 F39:G40 F42:G43 F45:G46 F48:G49 F51:G52 F54:G55 F57:G58 F60:G61 F63:G64 F66:G67 F69:G70 F72:G73 F75:G76 F78:G79 F81:G82 F84:G85 F87:G88 F90:G91 F93:G94 F96:G97 F99:G100 F102:G103 F105:G106 F108:G109 F111:G112 F114:G115 F117:G118 F120:G121 F123:G124 F126:G127">
    <cfRule type="expression" priority="6" dxfId="0" stopIfTrue="1">
      <formula>F6="y"</formula>
    </cfRule>
    <cfRule type="expression" priority="7" dxfId="4" stopIfTrue="1">
      <formula>F6="n"</formula>
    </cfRule>
  </conditionalFormatting>
  <conditionalFormatting sqref="J6:K7 J9:K10 J12:K13 J15:K16 J18:K19 J21:K22 J24:K25 J27:K28 J30:K31 J33:K34 J36:K37 J39:K40 J42:K43 J45:K46 J48:K49 J51:K52 J54:K55 J57:K58 J60:K61 J63:K64 J66:K67 J69:K70 J72:K73 J75:K76 J78:K79 J81:K82 J84:K85 J87:K88 J90:K91 J93:K94 J96:K97 J99:K100 J102:K103 J105:K106 J108:K109 J111:K112 J114:K115 J117:K118 J120:K121 J123:K124 J126:K127">
    <cfRule type="expression" priority="8" dxfId="2" stopIfTrue="1">
      <formula>AND($J6="Y",$K6="Y")</formula>
    </cfRule>
    <cfRule type="cellIs" priority="9" dxfId="0" operator="equal" stopIfTrue="1">
      <formula>"Y"</formula>
    </cfRule>
    <cfRule type="cellIs" priority="10" dxfId="4" operator="equal" stopIfTrue="1">
      <formula>"N"</formula>
    </cfRule>
  </conditionalFormatting>
  <conditionalFormatting sqref="L6 L9 L12 L15 L18 L21 L24 L27 L30 L33 L36 L39 L42 L45 L48 L51 L54 L57 L60 L63 L66 L69 L72 L75 L78 L81 L84 L87 L90 L93 L96 L99 L102 L105 L108 L111 L114 L117 L120 L123 L126">
    <cfRule type="expression" priority="11" dxfId="2" stopIfTrue="1">
      <formula>AND($L6="Y",$L7="Y")</formula>
    </cfRule>
    <cfRule type="cellIs" priority="12" dxfId="0" operator="equal" stopIfTrue="1">
      <formula>"Y"</formula>
    </cfRule>
    <cfRule type="cellIs" priority="13" dxfId="4" operator="equal" stopIfTrue="1">
      <formula>"N"</formula>
    </cfRule>
  </conditionalFormatting>
  <conditionalFormatting sqref="L7 L10 L13 L16 L19 L22 L25 L28 L31 L34 L37 L40 L43 L46 L49 L52 L55 L58 L61 L64 L67 L70 L73 L76 L79 L82 L85 L88 L91 L94 L97 L100 L103 L106 L109 L112 L115 L118 L121 L124 L127">
    <cfRule type="expression" priority="14" dxfId="2" stopIfTrue="1">
      <formula>AND($L7="Y",$L6="Y")</formula>
    </cfRule>
    <cfRule type="cellIs" priority="15" dxfId="0" operator="equal" stopIfTrue="1">
      <formula>"Y"</formula>
    </cfRule>
    <cfRule type="cellIs" priority="16" dxfId="4" operator="equal" stopIfTrue="1">
      <formula>"N"</formula>
    </cfRule>
  </conditionalFormatting>
  <conditionalFormatting sqref="N6:O7 N9:O10 N12:O13 N15:O16 N18:O19 N21:O22 N24:O25 N27:O28 N30:O31 N33:O34 N36:O37 N39:O40 N42:O43 N45:O46 N48:O49 N51:O52 N54:O55 N57:O58 N60:O61 N63:O64 N66:O67 N69:O70 N72:O73 N75:O76 N78:O79 N81:O82 N84:O85 N87:O88 N90:O91 N93:O94 N96:O97 N99:O100 N102:O103 N105:O106 N108:O109 N111:O112 N114:O115 N117:O118 N120:O121 N123:O124 N126:O127">
    <cfRule type="expression" priority="17" dxfId="2" stopIfTrue="1">
      <formula>AND($N6="Y",$O6="Y")</formula>
    </cfRule>
    <cfRule type="cellIs" priority="18" dxfId="0" operator="equal" stopIfTrue="1">
      <formula>"Y"</formula>
    </cfRule>
    <cfRule type="cellIs" priority="19" dxfId="4" operator="equal" stopIfTrue="1">
      <formula>"N"</formula>
    </cfRule>
  </conditionalFormatting>
  <conditionalFormatting sqref="P6:Q7 M6:M7 P9:Q10 M9:M10 P12:Q13 P15:Q16 P18:Q19 P21:Q22 P24:Q25 P27:Q28 P30:Q31 P33:Q34 P36:Q37 P39:Q40 P42:Q43 P45:Q46 P48:Q49 P51:Q52 P54:Q55 P57:Q58 P60:Q61 P63:Q64 P66:Q67 P69:Q70 P72:Q73 P75:Q76 P78:Q79 P81:Q82 P84:Q85 P87:Q88 P90:Q91 P93:Q94 P96:Q97 P99:Q100 P102:Q103 P105:Q106 P108:Q109 P111:Q112 P114:Q115 P117:Q118 P120:Q121 P123:Q124 P126:Q127 M12:M13 M15:M16 M18:M19 M21:M22 M24:M25 M27:M28 M30:M31 M33:M34 M36:M37 M39:M40 M42:M43 M45:M46 M48:M49 M51:M52 M54:M55 M57:M58 M60:M61 M63:M64 M66:M67 M69:M70 M72:M73 M75:M76 M78:M79 M81:M82 M84:M85 M87:M88 M90:M91 M93:M94 M96:M97 M99:M100 M102:M103 M105:M106 M108:M109 M111:M112 M114:M115 M117:M118 M120:M121 M123:M124 M126:M127">
    <cfRule type="cellIs" priority="20" dxfId="0" operator="equal" stopIfTrue="1">
      <formula>"y"</formula>
    </cfRule>
    <cfRule type="cellIs" priority="21" dxfId="4" operator="equal" stopIfTrue="1">
      <formula>"N"</formula>
    </cfRule>
  </conditionalFormatting>
  <conditionalFormatting sqref="R6:S7 R9:S10 R12:S13 R15:S16 R18:S19 R21:S22 R24:S25 R27:S28 R30:S31 R33:S34 R36:S37 R39:S40 R42:S43 R45:S46 R48:S49 R51:S52 R54:S55 R57:S58 R60:S61 R63:S64 R66:S67 R69:S70 R72:S73 R75:S76 R78:S79 R81:S82 R84:S85 R87:S88 R90:S91 R93:S94 R96:S97 R99:S100 R102:S103 R105:S106 R108:S109 R111:S112 R114:S115 R117:S118 R120:S121 R123:S124 R126:S127">
    <cfRule type="expression" priority="22" dxfId="2" stopIfTrue="1">
      <formula>OR($R6+$S6&gt;8,$R6+$S6&lt;0)</formula>
    </cfRule>
    <cfRule type="cellIs" priority="23" dxfId="0" operator="between" stopIfTrue="1">
      <formula>1</formula>
      <formula>8</formula>
    </cfRule>
    <cfRule type="cellIs" priority="24" dxfId="4" operator="equal" stopIfTrue="1">
      <formula>0</formula>
    </cfRule>
  </conditionalFormatting>
  <conditionalFormatting sqref="H6:H7 H9:H10 H12:H13 H15:H16 H18:H19 H21:H22 H24:H25 H27:H28 H30:H31 H33:H34 H36:H37 H39:H40 H42:H43 H45:H46 H48:H49 H51:H52 H54:H55 H57:H58 H60:H61 H63:H64 H66:H67 H69:H70 H72:H73 H75:H76 H78:H79 H81:H82 H84:H85 H87:H88 H90:H91 H93:H94 H96:H97 H99:H100 H102:H103 H105:H106 H108:H109 H111:H112 H114:H115 H117:H118 H120:H121 H123:H124 H126:H127">
    <cfRule type="expression" priority="25" dxfId="2" stopIfTrue="1">
      <formula>AND($H6&lt;&gt;"Y",$I6&gt;0)</formula>
    </cfRule>
    <cfRule type="expression" priority="26" dxfId="0" stopIfTrue="1">
      <formula>H6="y"</formula>
    </cfRule>
    <cfRule type="expression" priority="27" dxfId="4" stopIfTrue="1">
      <formula>H6="n"</formula>
    </cfRule>
  </conditionalFormatting>
  <conditionalFormatting sqref="I6:I7 I9:I10 I12:I13 I15:I16 I18:I19 I21:I22 I24:I25 I27:I28 I30:I31 I33:I34 I36:I37 I39:I40 I42:I43 I45:I46 I48:I49 I51:I52 I54:I55 I57:I58 I60:I61 I63:I64 I66:I67 I69:I70 I72:I73 I75:I76 I78:I79 I81:I82 I84:I85 I87:I88 I90:I91 I93:I94 I96:I97 I99:I100 I102:I103 I105:I106 I108:I109 I111:I112 I114:I115 I117:I118 I120:I121 I123:I124 I126:I127">
    <cfRule type="expression" priority="28" dxfId="2" stopIfTrue="1">
      <formula>AND($H6&lt;&gt;"Y",$I6&gt;0)</formula>
    </cfRule>
    <cfRule type="cellIs" priority="29" dxfId="0" operator="between" stopIfTrue="1">
      <formula>1</formula>
      <formula>3</formula>
    </cfRule>
    <cfRule type="cellIs" priority="30" dxfId="4" operator="equal" stopIfTrue="1">
      <formula>0</formula>
    </cfRule>
  </conditionalFormatting>
  <conditionalFormatting sqref="F132:K132">
    <cfRule type="expression" priority="31" dxfId="5" stopIfTrue="1">
      <formula>(F$132=F$131)</formula>
    </cfRule>
  </conditionalFormatting>
  <dataValidations count="4">
    <dataValidation type="list" allowBlank="1" showInputMessage="1" showErrorMessage="1" promptTitle="Team Name" prompt="Select one of the teams from this list.  To clear the team name, select the blank entry at the top of the drop down list." errorTitle="Invalid Team Name" error="Select One from the drop down list." sqref="D7 D9:D10 D12:D13 D15:D16 D18:D19 D21:D22 D24:D25 D27:D28 D30:D31 D33:D34 D36:D37 D39:D40 D42:D43 D45:D46 D48:D49 D51:D52 D54:D55 D57:D58 D60:D61 D63:D64 D66:D67 D69:D70 D72:D73 D75:D76 D78:D79 D81:D82 D84:D85 D87:D88 D90:D91 D93:D94 D96:D97 D99:D100 D102:D103 D105:D106 D108:D109 D111:D112 D114:D115 D117:D118 D120:D121 D123:D124 D126:D127">
      <formula1>$D$133:$D$153</formula1>
    </dataValidation>
    <dataValidation type="list" allowBlank="1" showInputMessage="1" showErrorMessage="1" promptTitle="Input" prompt="1 thru 8 or Leave Blank" error="Value must be 1 thru 8 or Leave Blank" sqref="R9:S10 R6:S7 R12:S13 R15:S16 R18:S19 R21:S22 R24:S25 R27:S28 R30:S31 R33:S34 R36:S37 R39:S40 R42:S43 R45:S46 R48:S49 R51:S52 R54:S55 R57:S58 R60:S61 R63:S64 R66:S67 R69:S70 R72:S73 R75:S76 R78:S79 R81:S82 R84:S85 R87:S88 R90:S91 R93:S94 R96:S97 R99:S100 R102:S103 R105:S106 R108:S109 R111:S112 R114:S115 R117:S118 R120:S121 R123:S124 R126:S127">
      <formula1>"0,1,2,3,4,5,6,7,8"</formula1>
    </dataValidation>
    <dataValidation type="list" allowBlank="1" showInputMessage="1" showErrorMessage="1" promptTitle="Input" prompt="1 thru 3 or Leave Blank" error="Value must be 1 thru 3 or Leave Blank" sqref="I6:I7 I9:I10 I12:I13 I15:I16 I18:I19 I21:I22 I24:I25 I27:I28 I30:I31 I33:I34 I36:I37 I39:I40 I42:I43 I45:I46 I48:I49 I51:I52 I54:I55 I57:I58 I60:I61 I63:I64 I66:I67 I69:I70 I72:I73 I75:I76 I78:I79 I81:I82 I84:I85 I87:I88 I90:I91 I93:I94 I96:I97 I99:I100 I102:I103 I105:I106 I108:I109 I111:I112 I114:I115 I117:I118 I120:I121 I123:I124 I126:I127">
      <formula1>"0,1,2,3"</formula1>
    </dataValidation>
    <dataValidation type="list" allowBlank="1" showInputMessage="1" showErrorMessage="1" promptTitle="Input" prompt="Y or Leave Blank" error="Value must be Y or leave blank" sqref="J6:Q7 F6:H7 J9:Q10 F9:H10 J12:Q13 J15:Q16 J18:Q19 J21:Q22 J24:Q25 J27:Q28 J30:Q31 J33:Q34 J36:Q37 J39:Q40 J42:Q43 J45:Q46 J48:Q49 J51:Q52 J54:Q55 J57:Q58 J60:Q61 J63:Q64 J66:Q67 J69:Q70 J72:Q73 J75:Q76 J78:Q79 J81:Q82 J84:Q85 J87:Q88 J90:Q91 J93:Q94 J96:Q97 J99:Q100 J102:Q103 J105:Q106 J108:Q109 J111:Q112 J114:Q115 J117:Q118 J120:Q121 J123:Q124 J126:Q127 F12:H13 F15:H16 F18:H19 F21:H22 F24:H25 F27:H28 F30:H31 F33:H34 F36:H37 F39:H40 F42:H43 F45:H46 F48:H49 F51:H52 F54:H55 F57:H58 F60:H61 F63:H64 F66:H67 F69:H70 F72:H73 F75:H76 F78:H79 F81:H82 F84:H85 F87:H88 F90:H91 F93:H94 F96:H97 F99:H100 F102:H103 F105:H106 F108:H109 F111:H112 F114:H115 F117:H118 F120:H121 F123:H124 F126:H127">
      <formula1>"Y,N"</formula1>
    </dataValidation>
  </dataValidations>
  <printOptions/>
  <pageMargins left="0.2" right="0.2" top="0.17" bottom="0.25" header="0.25" footer="0.25"/>
  <pageSetup fitToHeight="10" fitToWidth="2" horizontalDpi="300" verticalDpi="300" orientation="landscape" scale="124" r:id="rId1"/>
  <colBreaks count="1" manualBreakCount="1">
    <brk id="9" min="1" max="127"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A1:BL23"/>
  <sheetViews>
    <sheetView zoomScale="70" zoomScaleNormal="70" workbookViewId="0" topLeftCell="A1">
      <selection activeCell="C22" sqref="C22"/>
    </sheetView>
  </sheetViews>
  <sheetFormatPr defaultColWidth="9.140625" defaultRowHeight="12.75"/>
  <cols>
    <col min="1" max="2" width="9.140625" style="14" customWidth="1"/>
    <col min="3" max="3" width="25.8515625" style="15" customWidth="1"/>
    <col min="4" max="4" width="12.421875" style="14" customWidth="1"/>
    <col min="5" max="6" width="8.421875" style="14" customWidth="1"/>
    <col min="7" max="7" width="8.00390625" style="14" customWidth="1"/>
    <col min="8" max="9" width="8.421875" style="14" customWidth="1"/>
    <col min="10" max="10" width="9.8515625" style="14" customWidth="1"/>
    <col min="11" max="11" width="9.57421875" style="14" customWidth="1"/>
    <col min="12" max="12" width="9.421875" style="14" customWidth="1"/>
    <col min="13" max="13" width="9.28125" style="14" customWidth="1"/>
    <col min="14" max="15" width="8.421875" style="14" customWidth="1"/>
    <col min="16" max="16" width="9.28125" style="14" customWidth="1"/>
    <col min="17" max="20" width="8.421875" style="14" customWidth="1"/>
    <col min="21" max="21" width="5.421875" style="14" customWidth="1"/>
    <col min="22" max="22" width="6.28125" style="14" customWidth="1"/>
    <col min="23" max="16384" width="9.140625" style="14" customWidth="1"/>
  </cols>
  <sheetData>
    <row r="1" spans="1:18" s="16" customFormat="1" ht="120.75" customHeight="1" thickBot="1">
      <c r="A1" s="18"/>
      <c r="B1" s="19"/>
      <c r="C1" s="19"/>
      <c r="D1" s="20"/>
      <c r="E1" s="21" t="s">
        <v>278</v>
      </c>
      <c r="F1" s="22" t="s">
        <v>11</v>
      </c>
      <c r="G1" s="23" t="s">
        <v>12</v>
      </c>
      <c r="H1" s="23" t="s">
        <v>13</v>
      </c>
      <c r="I1" s="24" t="s">
        <v>14</v>
      </c>
      <c r="J1" s="24" t="s">
        <v>15</v>
      </c>
      <c r="K1" s="25" t="s">
        <v>16</v>
      </c>
      <c r="L1" s="23" t="s">
        <v>17</v>
      </c>
      <c r="M1" s="26" t="s">
        <v>18</v>
      </c>
      <c r="N1" s="27" t="s">
        <v>19</v>
      </c>
      <c r="O1" s="23" t="s">
        <v>20</v>
      </c>
      <c r="P1" s="28" t="s">
        <v>279</v>
      </c>
      <c r="Q1" s="23" t="s">
        <v>21</v>
      </c>
      <c r="R1" s="23" t="s">
        <v>22</v>
      </c>
    </row>
    <row r="2" spans="3:18" s="16" customFormat="1" ht="21.75" customHeight="1" thickBot="1">
      <c r="C2" s="29"/>
      <c r="D2" s="30" t="s">
        <v>23</v>
      </c>
      <c r="E2" s="31" t="s">
        <v>24</v>
      </c>
      <c r="F2" s="32" t="s">
        <v>25</v>
      </c>
      <c r="G2" s="311" t="s">
        <v>26</v>
      </c>
      <c r="H2" s="312"/>
      <c r="I2" s="315" t="s">
        <v>27</v>
      </c>
      <c r="J2" s="316"/>
      <c r="K2" s="317" t="s">
        <v>28</v>
      </c>
      <c r="L2" s="312"/>
      <c r="M2" s="318" t="s">
        <v>29</v>
      </c>
      <c r="N2" s="319"/>
      <c r="O2" s="33" t="s">
        <v>30</v>
      </c>
      <c r="P2" s="34" t="s">
        <v>31</v>
      </c>
      <c r="Q2" s="311" t="s">
        <v>32</v>
      </c>
      <c r="R2" s="312"/>
    </row>
    <row r="3" spans="1:18" s="16" customFormat="1" ht="23.25" customHeight="1" thickBot="1">
      <c r="A3" s="29" t="s">
        <v>200</v>
      </c>
      <c r="B3" s="29"/>
      <c r="C3" s="29"/>
      <c r="D3" s="36">
        <v>400</v>
      </c>
      <c r="E3" s="37">
        <v>40</v>
      </c>
      <c r="F3" s="37">
        <v>40</v>
      </c>
      <c r="G3" s="37">
        <v>30</v>
      </c>
      <c r="H3" s="37" t="s">
        <v>33</v>
      </c>
      <c r="I3" s="356">
        <v>25</v>
      </c>
      <c r="J3" s="357">
        <v>35</v>
      </c>
      <c r="K3" s="37">
        <v>25</v>
      </c>
      <c r="L3" s="37">
        <v>35</v>
      </c>
      <c r="M3" s="106">
        <v>35</v>
      </c>
      <c r="N3" s="106">
        <v>40</v>
      </c>
      <c r="O3" s="106">
        <v>40</v>
      </c>
      <c r="P3" s="37">
        <v>30</v>
      </c>
      <c r="Q3" s="37" t="s">
        <v>34</v>
      </c>
      <c r="R3" s="106" t="s">
        <v>35</v>
      </c>
    </row>
    <row r="4" spans="1:19" s="16" customFormat="1" ht="35.25" customHeight="1" thickBot="1">
      <c r="A4" s="35" t="s">
        <v>67</v>
      </c>
      <c r="B4" s="35"/>
      <c r="C4" s="107"/>
      <c r="D4" s="108"/>
      <c r="E4" s="109" t="s">
        <v>68</v>
      </c>
      <c r="F4" s="110" t="s">
        <v>68</v>
      </c>
      <c r="G4" s="110" t="s">
        <v>68</v>
      </c>
      <c r="H4" s="111" t="s">
        <v>69</v>
      </c>
      <c r="I4" s="358" t="s">
        <v>68</v>
      </c>
      <c r="J4" s="359" t="s">
        <v>68</v>
      </c>
      <c r="K4" s="110" t="s">
        <v>68</v>
      </c>
      <c r="L4" s="110" t="s">
        <v>68</v>
      </c>
      <c r="M4" s="113" t="s">
        <v>68</v>
      </c>
      <c r="N4" s="113" t="s">
        <v>68</v>
      </c>
      <c r="O4" s="113" t="s">
        <v>68</v>
      </c>
      <c r="P4" s="110" t="s">
        <v>68</v>
      </c>
      <c r="Q4" s="111" t="s">
        <v>70</v>
      </c>
      <c r="R4" s="114" t="s">
        <v>70</v>
      </c>
      <c r="S4" s="115"/>
    </row>
    <row r="5" spans="1:63" s="116" customFormat="1" ht="17.25" customHeight="1" thickBot="1">
      <c r="A5" s="126" t="s">
        <v>37</v>
      </c>
      <c r="B5" s="40" t="s">
        <v>38</v>
      </c>
      <c r="C5" s="61" t="s">
        <v>39</v>
      </c>
      <c r="D5" s="42"/>
      <c r="E5" s="117"/>
      <c r="F5" s="118"/>
      <c r="G5" s="313"/>
      <c r="H5" s="313"/>
      <c r="I5" s="313"/>
      <c r="J5" s="313"/>
      <c r="K5" s="313"/>
      <c r="L5" s="313"/>
      <c r="M5" s="313"/>
      <c r="N5" s="313"/>
      <c r="O5" s="119"/>
      <c r="P5" s="120"/>
      <c r="Q5" s="313"/>
      <c r="R5" s="314"/>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row>
    <row r="6" spans="1:18" s="16" customFormat="1" ht="45" customHeight="1" thickBot="1">
      <c r="A6" s="233"/>
      <c r="B6" s="234"/>
      <c r="C6" s="235"/>
      <c r="D6" s="68"/>
      <c r="E6" s="236"/>
      <c r="F6" s="236"/>
      <c r="G6" s="236"/>
      <c r="H6" s="236"/>
      <c r="I6" s="360"/>
      <c r="J6" s="360"/>
      <c r="K6" s="236"/>
      <c r="L6" s="236"/>
      <c r="M6" s="236"/>
      <c r="N6" s="236"/>
      <c r="O6" s="236"/>
      <c r="P6" s="360"/>
      <c r="Q6" s="236"/>
      <c r="R6" s="236"/>
    </row>
    <row r="7" spans="1:18" s="16" customFormat="1" ht="45" customHeight="1" thickBot="1">
      <c r="A7" s="127"/>
      <c r="B7" s="57"/>
      <c r="C7" s="58"/>
      <c r="D7" s="59"/>
      <c r="E7" s="53"/>
      <c r="F7" s="53"/>
      <c r="G7" s="53"/>
      <c r="H7" s="53"/>
      <c r="I7" s="361"/>
      <c r="J7" s="361"/>
      <c r="K7" s="53"/>
      <c r="L7" s="53"/>
      <c r="M7" s="53"/>
      <c r="N7" s="53"/>
      <c r="O7" s="53"/>
      <c r="P7" s="361"/>
      <c r="Q7" s="53"/>
      <c r="R7" s="53"/>
    </row>
    <row r="8" spans="1:19" s="16" customFormat="1" ht="37.5" customHeight="1" thickBot="1">
      <c r="A8" s="55"/>
      <c r="B8" s="55"/>
      <c r="C8" s="122"/>
      <c r="D8" s="123"/>
      <c r="E8" s="124"/>
      <c r="F8" s="124"/>
      <c r="G8" s="124"/>
      <c r="H8" s="124"/>
      <c r="I8" s="124"/>
      <c r="J8" s="124"/>
      <c r="K8" s="124"/>
      <c r="L8" s="124"/>
      <c r="M8" s="124"/>
      <c r="N8" s="124"/>
      <c r="O8" s="124"/>
      <c r="P8" s="124"/>
      <c r="Q8" s="124"/>
      <c r="R8" s="124"/>
      <c r="S8" s="124"/>
    </row>
    <row r="9" spans="1:18" s="16" customFormat="1" ht="120.75" customHeight="1" thickBot="1">
      <c r="A9" s="18"/>
      <c r="B9" s="19"/>
      <c r="C9" s="19"/>
      <c r="D9" s="20"/>
      <c r="E9" s="21" t="s">
        <v>278</v>
      </c>
      <c r="F9" s="22" t="s">
        <v>11</v>
      </c>
      <c r="G9" s="23" t="s">
        <v>12</v>
      </c>
      <c r="H9" s="23" t="s">
        <v>13</v>
      </c>
      <c r="I9" s="24" t="s">
        <v>14</v>
      </c>
      <c r="J9" s="24" t="s">
        <v>15</v>
      </c>
      <c r="K9" s="25" t="s">
        <v>16</v>
      </c>
      <c r="L9" s="23" t="s">
        <v>17</v>
      </c>
      <c r="M9" s="26" t="s">
        <v>18</v>
      </c>
      <c r="N9" s="27" t="s">
        <v>19</v>
      </c>
      <c r="O9" s="23" t="s">
        <v>20</v>
      </c>
      <c r="P9" s="28" t="s">
        <v>279</v>
      </c>
      <c r="Q9" s="23" t="s">
        <v>21</v>
      </c>
      <c r="R9" s="23" t="s">
        <v>22</v>
      </c>
    </row>
    <row r="10" spans="3:18" s="16" customFormat="1" ht="21.75" customHeight="1" thickBot="1">
      <c r="C10" s="29"/>
      <c r="D10" s="30" t="s">
        <v>23</v>
      </c>
      <c r="E10" s="31" t="s">
        <v>24</v>
      </c>
      <c r="F10" s="32" t="s">
        <v>25</v>
      </c>
      <c r="G10" s="311" t="s">
        <v>26</v>
      </c>
      <c r="H10" s="312"/>
      <c r="I10" s="315" t="s">
        <v>27</v>
      </c>
      <c r="J10" s="316"/>
      <c r="K10" s="317" t="s">
        <v>28</v>
      </c>
      <c r="L10" s="312"/>
      <c r="M10" s="318" t="s">
        <v>29</v>
      </c>
      <c r="N10" s="319"/>
      <c r="O10" s="33" t="s">
        <v>30</v>
      </c>
      <c r="P10" s="34" t="s">
        <v>31</v>
      </c>
      <c r="Q10" s="311" t="s">
        <v>32</v>
      </c>
      <c r="R10" s="312"/>
    </row>
    <row r="11" spans="1:18" s="16" customFormat="1" ht="23.25" customHeight="1" thickBot="1">
      <c r="A11" s="29" t="s">
        <v>200</v>
      </c>
      <c r="B11" s="29"/>
      <c r="C11" s="29"/>
      <c r="D11" s="36">
        <v>400</v>
      </c>
      <c r="E11" s="37">
        <v>40</v>
      </c>
      <c r="F11" s="37">
        <v>40</v>
      </c>
      <c r="G11" s="37">
        <v>30</v>
      </c>
      <c r="H11" s="37" t="s">
        <v>33</v>
      </c>
      <c r="I11" s="106">
        <v>25</v>
      </c>
      <c r="J11" s="37">
        <v>35</v>
      </c>
      <c r="K11" s="37">
        <v>25</v>
      </c>
      <c r="L11" s="37">
        <v>35</v>
      </c>
      <c r="M11" s="106">
        <v>35</v>
      </c>
      <c r="N11" s="106">
        <v>40</v>
      </c>
      <c r="O11" s="106">
        <v>40</v>
      </c>
      <c r="P11" s="37">
        <v>30</v>
      </c>
      <c r="Q11" s="37" t="s">
        <v>34</v>
      </c>
      <c r="R11" s="106" t="s">
        <v>35</v>
      </c>
    </row>
    <row r="12" spans="1:19" s="16" customFormat="1" ht="35.25" customHeight="1" thickBot="1">
      <c r="A12" s="35" t="s">
        <v>67</v>
      </c>
      <c r="B12" s="35"/>
      <c r="C12" s="107"/>
      <c r="D12" s="108"/>
      <c r="E12" s="109" t="s">
        <v>68</v>
      </c>
      <c r="F12" s="110" t="s">
        <v>68</v>
      </c>
      <c r="G12" s="110" t="s">
        <v>68</v>
      </c>
      <c r="H12" s="111" t="s">
        <v>69</v>
      </c>
      <c r="I12" s="112" t="s">
        <v>68</v>
      </c>
      <c r="J12" s="110" t="s">
        <v>68</v>
      </c>
      <c r="K12" s="110" t="s">
        <v>68</v>
      </c>
      <c r="L12" s="110" t="s">
        <v>68</v>
      </c>
      <c r="M12" s="113" t="s">
        <v>68</v>
      </c>
      <c r="N12" s="113" t="s">
        <v>68</v>
      </c>
      <c r="O12" s="113" t="s">
        <v>68</v>
      </c>
      <c r="P12" s="110" t="s">
        <v>68</v>
      </c>
      <c r="Q12" s="111" t="s">
        <v>70</v>
      </c>
      <c r="R12" s="114" t="s">
        <v>70</v>
      </c>
      <c r="S12" s="115"/>
    </row>
    <row r="13" spans="1:64" s="116" customFormat="1" ht="17.25" customHeight="1" thickBot="1">
      <c r="A13" s="126" t="s">
        <v>37</v>
      </c>
      <c r="B13" s="40" t="s">
        <v>38</v>
      </c>
      <c r="C13" s="61" t="s">
        <v>39</v>
      </c>
      <c r="D13" s="42"/>
      <c r="E13" s="117"/>
      <c r="F13" s="118"/>
      <c r="G13" s="313"/>
      <c r="H13" s="313"/>
      <c r="I13" s="313"/>
      <c r="J13" s="313"/>
      <c r="K13" s="313"/>
      <c r="L13" s="313"/>
      <c r="M13" s="313"/>
      <c r="N13" s="313"/>
      <c r="O13" s="119"/>
      <c r="P13" s="120"/>
      <c r="Q13" s="313"/>
      <c r="R13" s="314"/>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row>
    <row r="14" spans="1:18" s="16" customFormat="1" ht="45" customHeight="1" thickBot="1">
      <c r="A14" s="233"/>
      <c r="B14" s="234"/>
      <c r="C14" s="235"/>
      <c r="D14" s="68"/>
      <c r="E14" s="236"/>
      <c r="F14" s="362"/>
      <c r="G14" s="236"/>
      <c r="H14" s="236"/>
      <c r="I14" s="360"/>
      <c r="J14" s="360"/>
      <c r="K14" s="236"/>
      <c r="L14" s="236"/>
      <c r="M14" s="362"/>
      <c r="N14" s="362"/>
      <c r="O14" s="236"/>
      <c r="P14" s="360"/>
      <c r="Q14" s="236"/>
      <c r="R14" s="236"/>
    </row>
    <row r="15" spans="1:18" s="16" customFormat="1" ht="45" customHeight="1" thickBot="1">
      <c r="A15" s="127"/>
      <c r="B15" s="57"/>
      <c r="C15" s="58"/>
      <c r="D15" s="59"/>
      <c r="E15" s="53"/>
      <c r="F15" s="363"/>
      <c r="G15" s="53"/>
      <c r="H15" s="53"/>
      <c r="I15" s="361"/>
      <c r="J15" s="361"/>
      <c r="K15" s="53"/>
      <c r="L15" s="53"/>
      <c r="M15" s="363"/>
      <c r="N15" s="363"/>
      <c r="O15" s="53"/>
      <c r="P15" s="361"/>
      <c r="Q15" s="53"/>
      <c r="R15" s="53"/>
    </row>
    <row r="16" spans="1:20" s="16" customFormat="1" ht="37.5" customHeight="1" thickBot="1">
      <c r="A16" s="55"/>
      <c r="B16" s="55"/>
      <c r="C16" s="122"/>
      <c r="D16" s="123"/>
      <c r="E16" s="124"/>
      <c r="F16" s="124"/>
      <c r="G16" s="124"/>
      <c r="H16" s="124"/>
      <c r="I16" s="124"/>
      <c r="J16" s="124"/>
      <c r="K16" s="124"/>
      <c r="L16" s="124"/>
      <c r="M16" s="124"/>
      <c r="N16" s="124"/>
      <c r="O16" s="124"/>
      <c r="P16" s="124"/>
      <c r="Q16" s="124"/>
      <c r="R16" s="124"/>
      <c r="S16" s="124"/>
      <c r="T16" s="124"/>
    </row>
    <row r="17" spans="1:18" s="16" customFormat="1" ht="120.75" customHeight="1" thickBot="1">
      <c r="A17" s="18"/>
      <c r="B17" s="19"/>
      <c r="C17" s="19"/>
      <c r="D17" s="20"/>
      <c r="E17" s="21" t="s">
        <v>278</v>
      </c>
      <c r="F17" s="22" t="s">
        <v>11</v>
      </c>
      <c r="G17" s="23" t="s">
        <v>12</v>
      </c>
      <c r="H17" s="23" t="s">
        <v>13</v>
      </c>
      <c r="I17" s="24" t="s">
        <v>14</v>
      </c>
      <c r="J17" s="24" t="s">
        <v>15</v>
      </c>
      <c r="K17" s="25" t="s">
        <v>16</v>
      </c>
      <c r="L17" s="23" t="s">
        <v>17</v>
      </c>
      <c r="M17" s="26" t="s">
        <v>18</v>
      </c>
      <c r="N17" s="27" t="s">
        <v>19</v>
      </c>
      <c r="O17" s="23" t="s">
        <v>20</v>
      </c>
      <c r="P17" s="28" t="s">
        <v>279</v>
      </c>
      <c r="Q17" s="23" t="s">
        <v>21</v>
      </c>
      <c r="R17" s="23" t="s">
        <v>22</v>
      </c>
    </row>
    <row r="18" spans="3:18" s="16" customFormat="1" ht="21.75" customHeight="1" thickBot="1">
      <c r="C18" s="29"/>
      <c r="D18" s="30" t="s">
        <v>23</v>
      </c>
      <c r="E18" s="31" t="s">
        <v>24</v>
      </c>
      <c r="F18" s="32" t="s">
        <v>25</v>
      </c>
      <c r="G18" s="311" t="s">
        <v>26</v>
      </c>
      <c r="H18" s="312"/>
      <c r="I18" s="315" t="s">
        <v>27</v>
      </c>
      <c r="J18" s="316"/>
      <c r="K18" s="317" t="s">
        <v>28</v>
      </c>
      <c r="L18" s="312"/>
      <c r="M18" s="318" t="s">
        <v>29</v>
      </c>
      <c r="N18" s="319"/>
      <c r="O18" s="33" t="s">
        <v>30</v>
      </c>
      <c r="P18" s="34" t="s">
        <v>31</v>
      </c>
      <c r="Q18" s="311" t="s">
        <v>32</v>
      </c>
      <c r="R18" s="312"/>
    </row>
    <row r="19" spans="1:18" s="16" customFormat="1" ht="23.25" customHeight="1" thickBot="1">
      <c r="A19" s="29" t="s">
        <v>200</v>
      </c>
      <c r="B19" s="29"/>
      <c r="C19" s="29"/>
      <c r="D19" s="36">
        <v>400</v>
      </c>
      <c r="E19" s="37">
        <v>40</v>
      </c>
      <c r="F19" s="37">
        <v>40</v>
      </c>
      <c r="G19" s="37">
        <v>30</v>
      </c>
      <c r="H19" s="37" t="s">
        <v>33</v>
      </c>
      <c r="I19" s="106">
        <v>25</v>
      </c>
      <c r="J19" s="37">
        <v>35</v>
      </c>
      <c r="K19" s="37">
        <v>25</v>
      </c>
      <c r="L19" s="37">
        <v>35</v>
      </c>
      <c r="M19" s="106">
        <v>35</v>
      </c>
      <c r="N19" s="106">
        <v>40</v>
      </c>
      <c r="O19" s="106">
        <v>40</v>
      </c>
      <c r="P19" s="37">
        <v>30</v>
      </c>
      <c r="Q19" s="37" t="s">
        <v>34</v>
      </c>
      <c r="R19" s="106" t="s">
        <v>35</v>
      </c>
    </row>
    <row r="20" spans="1:19" s="16" customFormat="1" ht="35.25" customHeight="1" thickBot="1">
      <c r="A20" s="35" t="s">
        <v>67</v>
      </c>
      <c r="B20" s="35"/>
      <c r="C20" s="107"/>
      <c r="D20" s="108"/>
      <c r="E20" s="109" t="s">
        <v>68</v>
      </c>
      <c r="F20" s="110" t="s">
        <v>68</v>
      </c>
      <c r="G20" s="110" t="s">
        <v>68</v>
      </c>
      <c r="H20" s="111" t="s">
        <v>69</v>
      </c>
      <c r="I20" s="112" t="s">
        <v>68</v>
      </c>
      <c r="J20" s="110" t="s">
        <v>68</v>
      </c>
      <c r="K20" s="110" t="s">
        <v>68</v>
      </c>
      <c r="L20" s="110" t="s">
        <v>68</v>
      </c>
      <c r="M20" s="113" t="s">
        <v>68</v>
      </c>
      <c r="N20" s="113" t="s">
        <v>68</v>
      </c>
      <c r="O20" s="113" t="s">
        <v>68</v>
      </c>
      <c r="P20" s="110" t="s">
        <v>68</v>
      </c>
      <c r="Q20" s="111" t="s">
        <v>70</v>
      </c>
      <c r="R20" s="114" t="s">
        <v>70</v>
      </c>
      <c r="S20" s="115"/>
    </row>
    <row r="21" spans="1:64" s="116" customFormat="1" ht="17.25" customHeight="1" thickBot="1">
      <c r="A21" s="126" t="s">
        <v>37</v>
      </c>
      <c r="B21" s="40" t="s">
        <v>38</v>
      </c>
      <c r="C21" s="61" t="s">
        <v>39</v>
      </c>
      <c r="D21" s="42"/>
      <c r="E21" s="117"/>
      <c r="F21" s="118"/>
      <c r="G21" s="313"/>
      <c r="H21" s="313"/>
      <c r="I21" s="313"/>
      <c r="J21" s="313"/>
      <c r="K21" s="313"/>
      <c r="L21" s="313"/>
      <c r="M21" s="313"/>
      <c r="N21" s="313"/>
      <c r="O21" s="119"/>
      <c r="P21" s="120"/>
      <c r="Q21" s="313"/>
      <c r="R21" s="314"/>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1:18" s="16" customFormat="1" ht="45" customHeight="1" thickBot="1">
      <c r="A22" s="233"/>
      <c r="B22" s="234"/>
      <c r="C22" s="235"/>
      <c r="D22" s="68"/>
      <c r="E22" s="236"/>
      <c r="F22" s="362"/>
      <c r="G22" s="236"/>
      <c r="H22" s="236"/>
      <c r="I22" s="360"/>
      <c r="J22" s="360"/>
      <c r="K22" s="236"/>
      <c r="L22" s="236"/>
      <c r="M22" s="362"/>
      <c r="N22" s="362"/>
      <c r="O22" s="236"/>
      <c r="P22" s="360"/>
      <c r="Q22" s="236"/>
      <c r="R22" s="236"/>
    </row>
    <row r="23" spans="1:18" s="16" customFormat="1" ht="45" customHeight="1" thickBot="1">
      <c r="A23" s="127"/>
      <c r="B23" s="57"/>
      <c r="C23" s="58"/>
      <c r="D23" s="59"/>
      <c r="E23" s="53"/>
      <c r="F23" s="363"/>
      <c r="G23" s="53"/>
      <c r="H23" s="53"/>
      <c r="I23" s="361"/>
      <c r="J23" s="361"/>
      <c r="K23" s="53"/>
      <c r="L23" s="53"/>
      <c r="M23" s="363"/>
      <c r="N23" s="363"/>
      <c r="O23" s="53"/>
      <c r="P23" s="361"/>
      <c r="Q23" s="53"/>
      <c r="R23" s="53"/>
    </row>
  </sheetData>
  <mergeCells count="30">
    <mergeCell ref="G18:H18"/>
    <mergeCell ref="I18:J18"/>
    <mergeCell ref="M18:N18"/>
    <mergeCell ref="Q21:R21"/>
    <mergeCell ref="G21:H21"/>
    <mergeCell ref="I21:J21"/>
    <mergeCell ref="K21:L21"/>
    <mergeCell ref="M21:N21"/>
    <mergeCell ref="G10:H10"/>
    <mergeCell ref="I10:J10"/>
    <mergeCell ref="M10:N10"/>
    <mergeCell ref="G13:H13"/>
    <mergeCell ref="I13:J13"/>
    <mergeCell ref="K13:L13"/>
    <mergeCell ref="M13:N13"/>
    <mergeCell ref="Q2:R2"/>
    <mergeCell ref="G5:H5"/>
    <mergeCell ref="I5:J5"/>
    <mergeCell ref="K5:L5"/>
    <mergeCell ref="M5:N5"/>
    <mergeCell ref="Q5:R5"/>
    <mergeCell ref="G2:H2"/>
    <mergeCell ref="I2:J2"/>
    <mergeCell ref="K2:L2"/>
    <mergeCell ref="M2:N2"/>
    <mergeCell ref="Q10:R10"/>
    <mergeCell ref="K18:L18"/>
    <mergeCell ref="Q18:R18"/>
    <mergeCell ref="K10:L10"/>
    <mergeCell ref="Q13:R13"/>
  </mergeCells>
  <printOptions/>
  <pageMargins left="0.4" right="0.2" top="0.21" bottom="0.25" header="0.17" footer="0.17"/>
  <pageSetup fitToHeight="1" fitToWidth="1" horizontalDpi="300" verticalDpi="300" orientation="landscape" scale="59" r:id="rId1"/>
  <headerFooter alignWithMargins="0">
    <oddFooter>&amp;R&amp;F  &amp;D</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169"/>
  <sheetViews>
    <sheetView zoomScale="90" zoomScaleNormal="90" workbookViewId="0" topLeftCell="A1">
      <selection activeCell="F21" sqref="F21:G34"/>
    </sheetView>
  </sheetViews>
  <sheetFormatPr defaultColWidth="9.140625" defaultRowHeight="12.75"/>
  <cols>
    <col min="2" max="2" width="8.421875" style="0" customWidth="1"/>
    <col min="3" max="3" width="29.28125" style="0" customWidth="1"/>
    <col min="4" max="4" width="20.140625" style="0" customWidth="1"/>
    <col min="5" max="5" width="17.00390625" style="0" customWidth="1"/>
    <col min="6" max="6" width="9.140625" style="128" customWidth="1"/>
    <col min="11" max="11" width="23.57421875" style="0" customWidth="1"/>
    <col min="18" max="18" width="9.140625" style="128" customWidth="1"/>
  </cols>
  <sheetData>
    <row r="1" spans="6:18" ht="36.75" customHeight="1" thickBot="1">
      <c r="F1" s="320" t="s">
        <v>71</v>
      </c>
      <c r="G1" s="320"/>
      <c r="H1" s="320"/>
      <c r="I1" s="320"/>
      <c r="J1" s="320"/>
      <c r="L1" s="320" t="s">
        <v>72</v>
      </c>
      <c r="M1" s="320"/>
      <c r="N1" s="320"/>
      <c r="O1" s="320"/>
      <c r="Q1" s="321" t="s">
        <v>73</v>
      </c>
      <c r="R1" s="321"/>
    </row>
    <row r="2" spans="1:18" ht="27" thickBot="1">
      <c r="A2" s="288" t="s">
        <v>44</v>
      </c>
      <c r="B2" s="289" t="s">
        <v>45</v>
      </c>
      <c r="C2" s="290" t="s">
        <v>39</v>
      </c>
      <c r="D2" s="291" t="s">
        <v>46</v>
      </c>
      <c r="F2" s="282" t="s">
        <v>74</v>
      </c>
      <c r="G2" s="283" t="s">
        <v>75</v>
      </c>
      <c r="H2" s="283" t="s">
        <v>76</v>
      </c>
      <c r="I2" s="281" t="s">
        <v>77</v>
      </c>
      <c r="J2" s="281" t="s">
        <v>253</v>
      </c>
      <c r="L2" s="130">
        <v>1</v>
      </c>
      <c r="M2" s="132">
        <v>2</v>
      </c>
      <c r="N2" s="132">
        <v>3</v>
      </c>
      <c r="O2" s="133" t="s">
        <v>78</v>
      </c>
      <c r="Q2" s="134" t="s">
        <v>50</v>
      </c>
      <c r="R2" s="135" t="s">
        <v>79</v>
      </c>
    </row>
    <row r="3" spans="1:18" ht="31.5" customHeight="1">
      <c r="A3" s="284">
        <v>1</v>
      </c>
      <c r="B3" s="294">
        <v>1998</v>
      </c>
      <c r="C3" s="285" t="s">
        <v>224</v>
      </c>
      <c r="D3" s="295" t="s">
        <v>225</v>
      </c>
      <c r="E3" s="136"/>
      <c r="F3" s="226">
        <f>SUMIF('Local Comp Scoring'!$D$6:$D$19,C3,'Local Comp Scoring'!$E$6:$E$19)</f>
        <v>0</v>
      </c>
      <c r="G3" s="271">
        <f>SUMIF('Local Comp Scoring'!$D$20:$D$32,$C3,'Local Comp Scoring'!$E$20:$E$32)</f>
        <v>0</v>
      </c>
      <c r="H3" s="271">
        <f>SUMIF('Local Comp Scoring'!$D$35:$D$48,$C3,'Local Comp Scoring'!$E$35:$E$48)</f>
        <v>0</v>
      </c>
      <c r="I3" s="271">
        <f>SUMIF('Local Comp Scoring'!$D$49:$D$61,$C3,'Local Comp Scoring'!$E$49:$E$61)</f>
        <v>0</v>
      </c>
      <c r="J3" s="272">
        <f>SUMIF('Local Comp Scoring'!$D$64:$D$80,$C3,'Local Comp Scoring'!$E$64:$E$80)</f>
        <v>0</v>
      </c>
      <c r="L3" s="137">
        <f aca="true" t="shared" si="0" ref="L3:L19">LARGE($F3:$J3,1)</f>
        <v>0</v>
      </c>
      <c r="M3" s="138">
        <f aca="true" t="shared" si="1" ref="M3:M19">LARGE($F3:$J3,2)</f>
        <v>0</v>
      </c>
      <c r="N3" s="138">
        <f aca="true" t="shared" si="2" ref="N3:N19">LARGE($F3:$J3,3)</f>
        <v>0</v>
      </c>
      <c r="O3" s="139">
        <f aca="true" t="shared" si="3" ref="O3:O19">LARGE($F3:$J3,4)</f>
        <v>0</v>
      </c>
      <c r="Q3" s="140">
        <f aca="true" t="shared" si="4" ref="Q3:Q19">SUM(L3:N3)/3</f>
        <v>0</v>
      </c>
      <c r="R3" s="139">
        <f aca="true" t="shared" si="5" ref="R3:R19">RANK($Q3,$Q$3:$Q$19,0)</f>
        <v>1</v>
      </c>
    </row>
    <row r="4" spans="1:18" ht="18">
      <c r="A4" s="296">
        <f aca="true" t="shared" si="6" ref="A4:A19">1+A3</f>
        <v>2</v>
      </c>
      <c r="B4" s="292">
        <v>3229</v>
      </c>
      <c r="C4" s="141" t="s">
        <v>232</v>
      </c>
      <c r="D4" s="297" t="s">
        <v>233</v>
      </c>
      <c r="E4" s="136"/>
      <c r="F4" s="275">
        <f>SUMIF('Local Comp Scoring'!$D$6:$D$19,C4,'Local Comp Scoring'!$E$6:$E$19)</f>
        <v>0</v>
      </c>
      <c r="G4" s="224">
        <f>SUMIF('Local Comp Scoring'!$D$20:$D$32,$C4,'Local Comp Scoring'!$E$20:$E$32)</f>
        <v>0</v>
      </c>
      <c r="H4" s="224">
        <f>SUMIF('Local Comp Scoring'!$D$35:$D$48,$C4,'Local Comp Scoring'!$E$35:$E$48)</f>
        <v>0</v>
      </c>
      <c r="I4" s="224">
        <f>SUMIF('Local Comp Scoring'!$D$49:$D$61,$C4,'Local Comp Scoring'!$E$49:$E$61)</f>
        <v>0</v>
      </c>
      <c r="J4" s="276">
        <f>SUMIF('Local Comp Scoring'!$D$64:$D$80,$C4,'Local Comp Scoring'!$E$64:$E$80)</f>
        <v>0</v>
      </c>
      <c r="L4" s="137">
        <f t="shared" si="0"/>
        <v>0</v>
      </c>
      <c r="M4" s="138">
        <f t="shared" si="1"/>
        <v>0</v>
      </c>
      <c r="N4" s="138">
        <f t="shared" si="2"/>
        <v>0</v>
      </c>
      <c r="O4" s="139">
        <f t="shared" si="3"/>
        <v>0</v>
      </c>
      <c r="Q4" s="140">
        <f t="shared" si="4"/>
        <v>0</v>
      </c>
      <c r="R4" s="139">
        <f t="shared" si="5"/>
        <v>1</v>
      </c>
    </row>
    <row r="5" spans="1:18" ht="18">
      <c r="A5" s="296">
        <f t="shared" si="6"/>
        <v>3</v>
      </c>
      <c r="B5" s="292">
        <v>4102</v>
      </c>
      <c r="C5" s="141" t="s">
        <v>240</v>
      </c>
      <c r="D5" s="297" t="s">
        <v>241</v>
      </c>
      <c r="E5" s="136"/>
      <c r="F5" s="275">
        <f>SUMIF('Local Comp Scoring'!$D$6:$D$19,C5,'Local Comp Scoring'!$E$6:$E$19)</f>
        <v>0</v>
      </c>
      <c r="G5" s="224">
        <f>SUMIF('Local Comp Scoring'!$D$20:$D$32,$C5,'Local Comp Scoring'!$E$20:$E$32)</f>
        <v>0</v>
      </c>
      <c r="H5" s="224">
        <f>SUMIF('Local Comp Scoring'!$D$35:$D$48,$C5,'Local Comp Scoring'!$E$35:$E$48)</f>
        <v>0</v>
      </c>
      <c r="I5" s="224">
        <f>SUMIF('Local Comp Scoring'!$D$49:$D$61,$C5,'Local Comp Scoring'!$E$49:$E$61)</f>
        <v>0</v>
      </c>
      <c r="J5" s="276">
        <f>SUMIF('Local Comp Scoring'!$D$64:$D$80,$C5,'Local Comp Scoring'!$E$64:$E$80)</f>
        <v>0</v>
      </c>
      <c r="L5" s="137">
        <f t="shared" si="0"/>
        <v>0</v>
      </c>
      <c r="M5" s="138">
        <f t="shared" si="1"/>
        <v>0</v>
      </c>
      <c r="N5" s="138">
        <f t="shared" si="2"/>
        <v>0</v>
      </c>
      <c r="O5" s="139">
        <f t="shared" si="3"/>
        <v>0</v>
      </c>
      <c r="Q5" s="140">
        <f t="shared" si="4"/>
        <v>0</v>
      </c>
      <c r="R5" s="139">
        <f t="shared" si="5"/>
        <v>1</v>
      </c>
    </row>
    <row r="6" spans="1:18" ht="18">
      <c r="A6" s="296">
        <f t="shared" si="6"/>
        <v>4</v>
      </c>
      <c r="B6" s="292">
        <v>2676</v>
      </c>
      <c r="C6" s="141" t="s">
        <v>226</v>
      </c>
      <c r="D6" s="297" t="s">
        <v>227</v>
      </c>
      <c r="E6" s="136"/>
      <c r="F6" s="275">
        <f>SUMIF('Local Comp Scoring'!$D$6:$D$19,C6,'Local Comp Scoring'!$E$6:$E$19)</f>
        <v>0</v>
      </c>
      <c r="G6" s="224">
        <f>SUMIF('Local Comp Scoring'!$D$20:$D$32,$C6,'Local Comp Scoring'!$E$20:$E$32)</f>
        <v>0</v>
      </c>
      <c r="H6" s="224">
        <f>SUMIF('Local Comp Scoring'!$D$35:$D$48,$C6,'Local Comp Scoring'!$E$35:$E$48)</f>
        <v>0</v>
      </c>
      <c r="I6" s="224">
        <f>SUMIF('Local Comp Scoring'!$D$49:$D$61,$C6,'Local Comp Scoring'!$E$49:$E$61)</f>
        <v>0</v>
      </c>
      <c r="J6" s="276">
        <f>SUMIF('Local Comp Scoring'!$D$64:$D$80,$C6,'Local Comp Scoring'!$E$64:$E$80)</f>
        <v>0</v>
      </c>
      <c r="L6" s="137">
        <f t="shared" si="0"/>
        <v>0</v>
      </c>
      <c r="M6" s="138">
        <f t="shared" si="1"/>
        <v>0</v>
      </c>
      <c r="N6" s="138">
        <f t="shared" si="2"/>
        <v>0</v>
      </c>
      <c r="O6" s="139">
        <f t="shared" si="3"/>
        <v>0</v>
      </c>
      <c r="Q6" s="140">
        <f t="shared" si="4"/>
        <v>0</v>
      </c>
      <c r="R6" s="139">
        <f t="shared" si="5"/>
        <v>1</v>
      </c>
    </row>
    <row r="7" spans="1:18" ht="18">
      <c r="A7" s="296">
        <f t="shared" si="6"/>
        <v>5</v>
      </c>
      <c r="B7" s="292">
        <v>3968</v>
      </c>
      <c r="C7" s="141" t="s">
        <v>238</v>
      </c>
      <c r="D7" s="297" t="s">
        <v>239</v>
      </c>
      <c r="E7" s="136"/>
      <c r="F7" s="275">
        <f>SUMIF('Local Comp Scoring'!$D$6:$D$19,C7,'Local Comp Scoring'!$E$6:$E$19)</f>
        <v>0</v>
      </c>
      <c r="G7" s="224">
        <f>SUMIF('Local Comp Scoring'!$D$20:$D$32,$C7,'Local Comp Scoring'!$E$20:$E$32)</f>
        <v>0</v>
      </c>
      <c r="H7" s="224">
        <f>SUMIF('Local Comp Scoring'!$D$35:$D$48,$C7,'Local Comp Scoring'!$E$35:$E$48)</f>
        <v>0</v>
      </c>
      <c r="I7" s="224">
        <f>SUMIF('Local Comp Scoring'!$D$49:$D$61,$C7,'Local Comp Scoring'!$E$49:$E$61)</f>
        <v>0</v>
      </c>
      <c r="J7" s="276">
        <f>SUMIF('Local Comp Scoring'!$D$64:$D$80,$C7,'Local Comp Scoring'!$E$64:$E$80)</f>
        <v>0</v>
      </c>
      <c r="L7" s="137">
        <f t="shared" si="0"/>
        <v>0</v>
      </c>
      <c r="M7" s="138">
        <f t="shared" si="1"/>
        <v>0</v>
      </c>
      <c r="N7" s="138">
        <f t="shared" si="2"/>
        <v>0</v>
      </c>
      <c r="O7" s="139">
        <f t="shared" si="3"/>
        <v>0</v>
      </c>
      <c r="Q7" s="140">
        <f t="shared" si="4"/>
        <v>0</v>
      </c>
      <c r="R7" s="139">
        <f t="shared" si="5"/>
        <v>1</v>
      </c>
    </row>
    <row r="8" spans="1:18" ht="18">
      <c r="A8" s="296">
        <f t="shared" si="6"/>
        <v>6</v>
      </c>
      <c r="B8" s="292">
        <v>3808</v>
      </c>
      <c r="C8" s="141" t="s">
        <v>236</v>
      </c>
      <c r="D8" s="297" t="s">
        <v>237</v>
      </c>
      <c r="E8" s="136"/>
      <c r="F8" s="275">
        <f>SUMIF('Local Comp Scoring'!$D$6:$D$19,C8,'Local Comp Scoring'!$E$6:$E$19)</f>
        <v>0</v>
      </c>
      <c r="G8" s="224">
        <f>SUMIF('Local Comp Scoring'!$D$20:$D$32,$C8,'Local Comp Scoring'!$E$20:$E$32)</f>
        <v>0</v>
      </c>
      <c r="H8" s="224">
        <f>SUMIF('Local Comp Scoring'!$D$35:$D$48,$C8,'Local Comp Scoring'!$E$35:$E$48)</f>
        <v>0</v>
      </c>
      <c r="I8" s="224">
        <f>SUMIF('Local Comp Scoring'!$D$49:$D$61,$C8,'Local Comp Scoring'!$E$49:$E$61)</f>
        <v>0</v>
      </c>
      <c r="J8" s="276">
        <f>SUMIF('Local Comp Scoring'!$D$64:$D$80,$C8,'Local Comp Scoring'!$E$64:$E$80)</f>
        <v>0</v>
      </c>
      <c r="L8" s="137">
        <f t="shared" si="0"/>
        <v>0</v>
      </c>
      <c r="M8" s="138">
        <f t="shared" si="1"/>
        <v>0</v>
      </c>
      <c r="N8" s="138">
        <f t="shared" si="2"/>
        <v>0</v>
      </c>
      <c r="O8" s="139">
        <f t="shared" si="3"/>
        <v>0</v>
      </c>
      <c r="Q8" s="140">
        <f t="shared" si="4"/>
        <v>0</v>
      </c>
      <c r="R8" s="139">
        <f t="shared" si="5"/>
        <v>1</v>
      </c>
    </row>
    <row r="9" spans="1:18" ht="18">
      <c r="A9" s="296">
        <f t="shared" si="6"/>
        <v>7</v>
      </c>
      <c r="B9" s="292">
        <v>1716</v>
      </c>
      <c r="C9" s="141" t="s">
        <v>58</v>
      </c>
      <c r="D9" s="297" t="s">
        <v>59</v>
      </c>
      <c r="E9" s="136"/>
      <c r="F9" s="275">
        <f>SUMIF('Local Comp Scoring'!$D$6:$D$19,C9,'Local Comp Scoring'!$E$6:$E$19)</f>
        <v>0</v>
      </c>
      <c r="G9" s="224">
        <f>SUMIF('Local Comp Scoring'!$D$20:$D$32,$C9,'Local Comp Scoring'!$E$20:$E$32)</f>
        <v>0</v>
      </c>
      <c r="H9" s="224">
        <f>SUMIF('Local Comp Scoring'!$D$35:$D$48,$C9,'Local Comp Scoring'!$E$35:$E$48)</f>
        <v>0</v>
      </c>
      <c r="I9" s="224">
        <f>SUMIF('Local Comp Scoring'!$D$49:$D$61,$C9,'Local Comp Scoring'!$E$49:$E$61)</f>
        <v>0</v>
      </c>
      <c r="J9" s="276">
        <f>SUMIF('Local Comp Scoring'!$D$64:$D$80,$C9,'Local Comp Scoring'!$E$64:$E$80)</f>
        <v>0</v>
      </c>
      <c r="L9" s="137">
        <f t="shared" si="0"/>
        <v>0</v>
      </c>
      <c r="M9" s="138">
        <f t="shared" si="1"/>
        <v>0</v>
      </c>
      <c r="N9" s="138">
        <f t="shared" si="2"/>
        <v>0</v>
      </c>
      <c r="O9" s="139">
        <f t="shared" si="3"/>
        <v>0</v>
      </c>
      <c r="Q9" s="140">
        <f t="shared" si="4"/>
        <v>0</v>
      </c>
      <c r="R9" s="139">
        <f t="shared" si="5"/>
        <v>1</v>
      </c>
    </row>
    <row r="10" spans="1:18" ht="18">
      <c r="A10" s="296">
        <f t="shared" si="6"/>
        <v>8</v>
      </c>
      <c r="B10" s="292">
        <v>3070</v>
      </c>
      <c r="C10" s="141" t="s">
        <v>230</v>
      </c>
      <c r="D10" s="297" t="s">
        <v>231</v>
      </c>
      <c r="E10" s="136"/>
      <c r="F10" s="275">
        <f>SUMIF('Local Comp Scoring'!$D$6:$D$19,C10,'Local Comp Scoring'!$E$6:$E$19)</f>
        <v>0</v>
      </c>
      <c r="G10" s="224">
        <f>SUMIF('Local Comp Scoring'!$D$20:$D$32,$C10,'Local Comp Scoring'!$E$20:$E$32)</f>
        <v>0</v>
      </c>
      <c r="H10" s="224">
        <f>SUMIF('Local Comp Scoring'!$D$35:$D$48,$C10,'Local Comp Scoring'!$E$35:$E$48)</f>
        <v>0</v>
      </c>
      <c r="I10" s="224">
        <f>SUMIF('Local Comp Scoring'!$D$49:$D$61,$C10,'Local Comp Scoring'!$E$49:$E$61)</f>
        <v>0</v>
      </c>
      <c r="J10" s="276">
        <f>SUMIF('Local Comp Scoring'!$D$64:$D$80,$C10,'Local Comp Scoring'!$E$64:$E$80)</f>
        <v>0</v>
      </c>
      <c r="L10" s="137">
        <f t="shared" si="0"/>
        <v>0</v>
      </c>
      <c r="M10" s="138">
        <f t="shared" si="1"/>
        <v>0</v>
      </c>
      <c r="N10" s="138">
        <f t="shared" si="2"/>
        <v>0</v>
      </c>
      <c r="O10" s="139">
        <f t="shared" si="3"/>
        <v>0</v>
      </c>
      <c r="Q10" s="140">
        <f t="shared" si="4"/>
        <v>0</v>
      </c>
      <c r="R10" s="139">
        <f t="shared" si="5"/>
        <v>1</v>
      </c>
    </row>
    <row r="11" spans="1:18" ht="18">
      <c r="A11" s="296">
        <f t="shared" si="6"/>
        <v>9</v>
      </c>
      <c r="B11" s="292">
        <v>2828</v>
      </c>
      <c r="C11" s="141" t="s">
        <v>228</v>
      </c>
      <c r="D11" s="297" t="s">
        <v>229</v>
      </c>
      <c r="E11" s="136"/>
      <c r="F11" s="275">
        <f>SUMIF('Local Comp Scoring'!$D$6:$D$19,C11,'Local Comp Scoring'!$E$6:$E$19)</f>
        <v>0</v>
      </c>
      <c r="G11" s="224">
        <f>SUMIF('Local Comp Scoring'!$D$20:$D$32,$C11,'Local Comp Scoring'!$E$20:$E$32)</f>
        <v>0</v>
      </c>
      <c r="H11" s="224">
        <f>SUMIF('Local Comp Scoring'!$D$35:$D$48,$C11,'Local Comp Scoring'!$E$35:$E$48)</f>
        <v>0</v>
      </c>
      <c r="I11" s="224">
        <f>SUMIF('Local Comp Scoring'!$D$49:$D$61,$C11,'Local Comp Scoring'!$E$49:$E$61)</f>
        <v>0</v>
      </c>
      <c r="J11" s="276">
        <f>SUMIF('Local Comp Scoring'!$D$64:$D$80,$C11,'Local Comp Scoring'!$E$64:$E$80)</f>
        <v>0</v>
      </c>
      <c r="L11" s="137">
        <f t="shared" si="0"/>
        <v>0</v>
      </c>
      <c r="M11" s="138">
        <f t="shared" si="1"/>
        <v>0</v>
      </c>
      <c r="N11" s="138">
        <f t="shared" si="2"/>
        <v>0</v>
      </c>
      <c r="O11" s="139">
        <f t="shared" si="3"/>
        <v>0</v>
      </c>
      <c r="Q11" s="140">
        <f t="shared" si="4"/>
        <v>0</v>
      </c>
      <c r="R11" s="139">
        <f t="shared" si="5"/>
        <v>1</v>
      </c>
    </row>
    <row r="12" spans="1:18" ht="18">
      <c r="A12" s="296">
        <f t="shared" si="6"/>
        <v>10</v>
      </c>
      <c r="B12" s="292">
        <v>3407</v>
      </c>
      <c r="C12" s="141" t="s">
        <v>234</v>
      </c>
      <c r="D12" s="297" t="s">
        <v>235</v>
      </c>
      <c r="E12" s="136"/>
      <c r="F12" s="275">
        <f>SUMIF('Local Comp Scoring'!$D$6:$D$19,C12,'Local Comp Scoring'!$E$6:$E$19)</f>
        <v>0</v>
      </c>
      <c r="G12" s="224">
        <f>SUMIF('Local Comp Scoring'!$D$20:$D$32,$C12,'Local Comp Scoring'!$E$20:$E$32)</f>
        <v>0</v>
      </c>
      <c r="H12" s="224">
        <f>SUMIF('Local Comp Scoring'!$D$35:$D$48,$C12,'Local Comp Scoring'!$E$35:$E$48)</f>
        <v>0</v>
      </c>
      <c r="I12" s="224">
        <f>SUMIF('Local Comp Scoring'!$D$49:$D$61,$C12,'Local Comp Scoring'!$E$49:$E$61)</f>
        <v>0</v>
      </c>
      <c r="J12" s="276">
        <f>SUMIF('Local Comp Scoring'!$D$64:$D$80,$C12,'Local Comp Scoring'!$E$64:$E$80)</f>
        <v>0</v>
      </c>
      <c r="L12" s="137">
        <f t="shared" si="0"/>
        <v>0</v>
      </c>
      <c r="M12" s="138">
        <f t="shared" si="1"/>
        <v>0</v>
      </c>
      <c r="N12" s="138">
        <f t="shared" si="2"/>
        <v>0</v>
      </c>
      <c r="O12" s="139">
        <f t="shared" si="3"/>
        <v>0</v>
      </c>
      <c r="Q12" s="140">
        <f t="shared" si="4"/>
        <v>0</v>
      </c>
      <c r="R12" s="139">
        <f t="shared" si="5"/>
        <v>1</v>
      </c>
    </row>
    <row r="13" spans="1:18" ht="25.5">
      <c r="A13" s="296">
        <f t="shared" si="6"/>
        <v>11</v>
      </c>
      <c r="B13" s="292">
        <v>411</v>
      </c>
      <c r="C13" s="141" t="s">
        <v>222</v>
      </c>
      <c r="D13" s="297" t="s">
        <v>57</v>
      </c>
      <c r="E13" s="136"/>
      <c r="F13" s="275">
        <f>SUMIF('Local Comp Scoring'!$D$6:$D$19,C13,'Local Comp Scoring'!$E$6:$E$19)</f>
        <v>0</v>
      </c>
      <c r="G13" s="224">
        <f>SUMIF('Local Comp Scoring'!$D$20:$D$32,$C13,'Local Comp Scoring'!$E$20:$E$32)</f>
        <v>0</v>
      </c>
      <c r="H13" s="224">
        <f>SUMIF('Local Comp Scoring'!$D$35:$D$48,$C13,'Local Comp Scoring'!$E$35:$E$48)</f>
        <v>0</v>
      </c>
      <c r="I13" s="224">
        <f>SUMIF('Local Comp Scoring'!$D$49:$D$61,$C13,'Local Comp Scoring'!$E$49:$E$61)</f>
        <v>0</v>
      </c>
      <c r="J13" s="276">
        <f>SUMIF('Local Comp Scoring'!$D$64:$D$80,$C13,'Local Comp Scoring'!$E$64:$E$80)</f>
        <v>0</v>
      </c>
      <c r="L13" s="137">
        <f t="shared" si="0"/>
        <v>0</v>
      </c>
      <c r="M13" s="138">
        <f t="shared" si="1"/>
        <v>0</v>
      </c>
      <c r="N13" s="138">
        <f t="shared" si="2"/>
        <v>0</v>
      </c>
      <c r="O13" s="139">
        <f t="shared" si="3"/>
        <v>0</v>
      </c>
      <c r="Q13" s="140">
        <f t="shared" si="4"/>
        <v>0</v>
      </c>
      <c r="R13" s="139">
        <f t="shared" si="5"/>
        <v>1</v>
      </c>
    </row>
    <row r="14" spans="1:18" ht="25.5">
      <c r="A14" s="296">
        <f t="shared" si="6"/>
        <v>12</v>
      </c>
      <c r="B14" s="292">
        <v>508</v>
      </c>
      <c r="C14" s="141" t="s">
        <v>55</v>
      </c>
      <c r="D14" s="297" t="s">
        <v>223</v>
      </c>
      <c r="E14" s="136"/>
      <c r="F14" s="275">
        <f>SUMIF('Local Comp Scoring'!$D$6:$D$19,C14,'Local Comp Scoring'!$E$6:$E$19)</f>
        <v>0</v>
      </c>
      <c r="G14" s="224">
        <f>SUMIF('Local Comp Scoring'!$D$20:$D$32,$C14,'Local Comp Scoring'!$E$20:$E$32)</f>
        <v>0</v>
      </c>
      <c r="H14" s="224">
        <f>SUMIF('Local Comp Scoring'!$D$35:$D$48,$C14,'Local Comp Scoring'!$E$35:$E$48)</f>
        <v>0</v>
      </c>
      <c r="I14" s="224">
        <f>SUMIF('Local Comp Scoring'!$D$49:$D$61,$C14,'Local Comp Scoring'!$E$49:$E$61)</f>
        <v>0</v>
      </c>
      <c r="J14" s="276">
        <f>SUMIF('Local Comp Scoring'!$D$64:$D$80,$C14,'Local Comp Scoring'!$E$64:$E$80)</f>
        <v>0</v>
      </c>
      <c r="L14" s="137">
        <f t="shared" si="0"/>
        <v>0</v>
      </c>
      <c r="M14" s="138">
        <f t="shared" si="1"/>
        <v>0</v>
      </c>
      <c r="N14" s="138">
        <f t="shared" si="2"/>
        <v>0</v>
      </c>
      <c r="O14" s="139">
        <f t="shared" si="3"/>
        <v>0</v>
      </c>
      <c r="Q14" s="140">
        <f t="shared" si="4"/>
        <v>0</v>
      </c>
      <c r="R14" s="139">
        <f t="shared" si="5"/>
        <v>1</v>
      </c>
    </row>
    <row r="15" spans="1:18" ht="18">
      <c r="A15" s="296">
        <f t="shared" si="6"/>
        <v>13</v>
      </c>
      <c r="B15" s="292"/>
      <c r="C15" s="293"/>
      <c r="D15" s="297"/>
      <c r="E15" s="136"/>
      <c r="F15" s="275">
        <f>SUMIF('Local Comp Scoring'!$D$6:$D$19,C15,'Local Comp Scoring'!$E$6:$E$19)</f>
        <v>0</v>
      </c>
      <c r="G15" s="224">
        <f>SUMIF('Local Comp Scoring'!$D$20:$D$32,$C15,'Local Comp Scoring'!$E$20:$E$32)</f>
        <v>0</v>
      </c>
      <c r="H15" s="224">
        <f>SUMIF('Local Comp Scoring'!$D$35:$D$48,$C15,'Local Comp Scoring'!$E$35:$E$48)</f>
        <v>0</v>
      </c>
      <c r="I15" s="224">
        <f>SUMIF('Local Comp Scoring'!$D$49:$D$61,$C15,'Local Comp Scoring'!$E$49:$E$61)</f>
        <v>0</v>
      </c>
      <c r="J15" s="276">
        <f>SUMIF('Local Comp Scoring'!$D$64:$D$80,$C15,'Local Comp Scoring'!$E$64:$E$80)</f>
        <v>0</v>
      </c>
      <c r="L15" s="137">
        <f t="shared" si="0"/>
        <v>0</v>
      </c>
      <c r="M15" s="138">
        <f t="shared" si="1"/>
        <v>0</v>
      </c>
      <c r="N15" s="138">
        <f t="shared" si="2"/>
        <v>0</v>
      </c>
      <c r="O15" s="139">
        <f t="shared" si="3"/>
        <v>0</v>
      </c>
      <c r="Q15" s="140">
        <f t="shared" si="4"/>
        <v>0</v>
      </c>
      <c r="R15" s="139">
        <f t="shared" si="5"/>
        <v>1</v>
      </c>
    </row>
    <row r="16" spans="1:18" ht="18">
      <c r="A16" s="296">
        <f t="shared" si="6"/>
        <v>14</v>
      </c>
      <c r="B16" s="292"/>
      <c r="C16" s="293"/>
      <c r="D16" s="297"/>
      <c r="E16" s="136"/>
      <c r="F16" s="275">
        <f>SUMIF('Local Comp Scoring'!$D$6:$D$19,C16,'Local Comp Scoring'!$E$6:$E$19)</f>
        <v>0</v>
      </c>
      <c r="G16" s="224">
        <f>SUMIF('Local Comp Scoring'!$D$20:$D$32,$C16,'Local Comp Scoring'!$E$20:$E$32)</f>
        <v>0</v>
      </c>
      <c r="H16" s="224">
        <f>SUMIF('Local Comp Scoring'!$D$35:$D$48,$C16,'Local Comp Scoring'!$E$35:$E$48)</f>
        <v>0</v>
      </c>
      <c r="I16" s="224">
        <f>SUMIF('Local Comp Scoring'!$D$49:$D$61,$C16,'Local Comp Scoring'!$E$49:$E$61)</f>
        <v>0</v>
      </c>
      <c r="J16" s="276">
        <f>SUMIF('Local Comp Scoring'!$D$64:$D$80,$C16,'Local Comp Scoring'!$E$64:$E$80)</f>
        <v>0</v>
      </c>
      <c r="L16" s="137">
        <f t="shared" si="0"/>
        <v>0</v>
      </c>
      <c r="M16" s="138">
        <f t="shared" si="1"/>
        <v>0</v>
      </c>
      <c r="N16" s="138">
        <f t="shared" si="2"/>
        <v>0</v>
      </c>
      <c r="O16" s="139">
        <f t="shared" si="3"/>
        <v>0</v>
      </c>
      <c r="Q16" s="140">
        <f t="shared" si="4"/>
        <v>0</v>
      </c>
      <c r="R16" s="139">
        <f t="shared" si="5"/>
        <v>1</v>
      </c>
    </row>
    <row r="17" spans="1:18" ht="18">
      <c r="A17" s="296">
        <f t="shared" si="6"/>
        <v>15</v>
      </c>
      <c r="B17" s="292"/>
      <c r="C17" s="293"/>
      <c r="D17" s="297"/>
      <c r="E17" s="136"/>
      <c r="F17" s="275">
        <f>SUMIF('Local Comp Scoring'!$D$6:$D$19,C17,'Local Comp Scoring'!$E$6:$E$19)</f>
        <v>0</v>
      </c>
      <c r="G17" s="224">
        <f>SUMIF('Local Comp Scoring'!$D$20:$D$32,$C17,'Local Comp Scoring'!$E$20:$E$32)</f>
        <v>0</v>
      </c>
      <c r="H17" s="224">
        <f>SUMIF('Local Comp Scoring'!$D$35:$D$48,$C17,'Local Comp Scoring'!$E$35:$E$48)</f>
        <v>0</v>
      </c>
      <c r="I17" s="224">
        <f>SUMIF('Local Comp Scoring'!$D$49:$D$61,$C17,'Local Comp Scoring'!$E$49:$E$61)</f>
        <v>0</v>
      </c>
      <c r="J17" s="276">
        <f>SUMIF('Local Comp Scoring'!$D$64:$D$80,$C17,'Local Comp Scoring'!$E$64:$E$80)</f>
        <v>0</v>
      </c>
      <c r="L17" s="137">
        <f t="shared" si="0"/>
        <v>0</v>
      </c>
      <c r="M17" s="138">
        <f t="shared" si="1"/>
        <v>0</v>
      </c>
      <c r="N17" s="138">
        <f t="shared" si="2"/>
        <v>0</v>
      </c>
      <c r="O17" s="139">
        <f t="shared" si="3"/>
        <v>0</v>
      </c>
      <c r="Q17" s="140">
        <f t="shared" si="4"/>
        <v>0</v>
      </c>
      <c r="R17" s="139">
        <f t="shared" si="5"/>
        <v>1</v>
      </c>
    </row>
    <row r="18" spans="1:18" ht="18">
      <c r="A18" s="296">
        <f t="shared" si="6"/>
        <v>16</v>
      </c>
      <c r="B18" s="292"/>
      <c r="C18" s="293"/>
      <c r="D18" s="297"/>
      <c r="E18" s="136"/>
      <c r="F18" s="275">
        <f>SUMIF('Local Comp Scoring'!$D$6:$D$19,C18,'Local Comp Scoring'!$E$6:$E$19)</f>
        <v>0</v>
      </c>
      <c r="G18" s="224">
        <f>SUMIF('Local Comp Scoring'!$D$20:$D$32,$C18,'Local Comp Scoring'!$E$20:$E$32)</f>
        <v>0</v>
      </c>
      <c r="H18" s="224">
        <f>SUMIF('Local Comp Scoring'!$D$35:$D$48,$C18,'Local Comp Scoring'!$E$35:$E$48)</f>
        <v>0</v>
      </c>
      <c r="I18" s="224">
        <f>SUMIF('Local Comp Scoring'!$D$49:$D$61,$C18,'Local Comp Scoring'!$E$49:$E$61)</f>
        <v>0</v>
      </c>
      <c r="J18" s="276">
        <f>SUMIF('Local Comp Scoring'!$D$64:$D$80,$C18,'Local Comp Scoring'!$E$64:$E$80)</f>
        <v>0</v>
      </c>
      <c r="L18" s="137">
        <f t="shared" si="0"/>
        <v>0</v>
      </c>
      <c r="M18" s="138">
        <f t="shared" si="1"/>
        <v>0</v>
      </c>
      <c r="N18" s="138">
        <f t="shared" si="2"/>
        <v>0</v>
      </c>
      <c r="O18" s="139">
        <f t="shared" si="3"/>
        <v>0</v>
      </c>
      <c r="Q18" s="140">
        <f t="shared" si="4"/>
        <v>0</v>
      </c>
      <c r="R18" s="139">
        <f t="shared" si="5"/>
        <v>1</v>
      </c>
    </row>
    <row r="19" spans="1:18" ht="18.75" thickBot="1">
      <c r="A19" s="298">
        <f t="shared" si="6"/>
        <v>17</v>
      </c>
      <c r="B19" s="299"/>
      <c r="C19" s="300"/>
      <c r="D19" s="301"/>
      <c r="E19" s="136"/>
      <c r="F19" s="279">
        <f>SUMIF('Local Comp Scoring'!$D$6:$D$19,C19,'Local Comp Scoring'!$E$6:$E$19)</f>
        <v>0</v>
      </c>
      <c r="G19" s="277">
        <f>SUMIF('Local Comp Scoring'!$D$20:$D$32,$C19,'Local Comp Scoring'!$E$20:$E$32)</f>
        <v>0</v>
      </c>
      <c r="H19" s="277">
        <f>SUMIF('Local Comp Scoring'!$D$35:$D$48,$C19,'Local Comp Scoring'!$E$35:$E$48)</f>
        <v>0</v>
      </c>
      <c r="I19" s="277">
        <f>SUMIF('Local Comp Scoring'!$D$49:$D$61,$C19,'Local Comp Scoring'!$E$49:$E$61)</f>
        <v>0</v>
      </c>
      <c r="J19" s="280">
        <f>SUMIF('Local Comp Scoring'!$D$64:$D$80,$C19,'Local Comp Scoring'!$E$64:$E$80)</f>
        <v>0</v>
      </c>
      <c r="L19" s="142">
        <f t="shared" si="0"/>
        <v>0</v>
      </c>
      <c r="M19" s="143">
        <f t="shared" si="1"/>
        <v>0</v>
      </c>
      <c r="N19" s="143">
        <f t="shared" si="2"/>
        <v>0</v>
      </c>
      <c r="O19" s="144">
        <f t="shared" si="3"/>
        <v>0</v>
      </c>
      <c r="Q19" s="145">
        <f t="shared" si="4"/>
        <v>0</v>
      </c>
      <c r="R19" s="144">
        <f t="shared" si="5"/>
        <v>1</v>
      </c>
    </row>
    <row r="20" ht="13.5" thickBot="1"/>
    <row r="21" spans="2:15" ht="31.5" customHeight="1" thickBot="1">
      <c r="B21" s="322" t="s">
        <v>80</v>
      </c>
      <c r="C21" s="302"/>
      <c r="D21" s="303"/>
      <c r="F21" s="323" t="s">
        <v>81</v>
      </c>
      <c r="G21" s="323"/>
      <c r="J21" s="324" t="s">
        <v>82</v>
      </c>
      <c r="K21" s="325"/>
      <c r="L21" s="326"/>
      <c r="M21" s="327" t="s">
        <v>83</v>
      </c>
      <c r="N21" s="328"/>
      <c r="O21" s="329"/>
    </row>
    <row r="22" spans="2:15" ht="12.75">
      <c r="B22" s="146">
        <v>1</v>
      </c>
      <c r="C22" s="138" t="s">
        <v>228</v>
      </c>
      <c r="D22" s="139">
        <v>201</v>
      </c>
      <c r="F22" s="323"/>
      <c r="G22" s="323"/>
      <c r="J22" s="146">
        <v>1</v>
      </c>
      <c r="K22" s="225" t="s">
        <v>228</v>
      </c>
      <c r="L22" s="270">
        <v>77</v>
      </c>
      <c r="M22" s="226">
        <v>201</v>
      </c>
      <c r="N22" s="271">
        <v>30</v>
      </c>
      <c r="O22" s="272">
        <v>0</v>
      </c>
    </row>
    <row r="23" spans="2:15" ht="12.75">
      <c r="B23" s="146">
        <v>2</v>
      </c>
      <c r="C23" s="138" t="s">
        <v>226</v>
      </c>
      <c r="D23" s="139">
        <v>115</v>
      </c>
      <c r="F23" s="323"/>
      <c r="G23" s="323"/>
      <c r="J23" s="273">
        <v>2</v>
      </c>
      <c r="K23" s="224" t="s">
        <v>226</v>
      </c>
      <c r="L23" s="274">
        <v>51.666666666666664</v>
      </c>
      <c r="M23" s="275">
        <v>115</v>
      </c>
      <c r="N23" s="224">
        <v>40</v>
      </c>
      <c r="O23" s="276">
        <v>0</v>
      </c>
    </row>
    <row r="24" spans="2:15" ht="12.75">
      <c r="B24" s="146">
        <v>3</v>
      </c>
      <c r="C24" s="138" t="s">
        <v>230</v>
      </c>
      <c r="D24" s="139">
        <v>80</v>
      </c>
      <c r="F24" s="323"/>
      <c r="G24" s="323"/>
      <c r="J24" s="146">
        <v>3</v>
      </c>
      <c r="K24" s="224" t="s">
        <v>222</v>
      </c>
      <c r="L24" s="274">
        <v>41</v>
      </c>
      <c r="M24" s="275">
        <v>75</v>
      </c>
      <c r="N24" s="224">
        <v>40</v>
      </c>
      <c r="O24" s="276">
        <v>8</v>
      </c>
    </row>
    <row r="25" spans="2:15" ht="12.75">
      <c r="B25" s="146">
        <v>4</v>
      </c>
      <c r="C25" s="138" t="s">
        <v>222</v>
      </c>
      <c r="D25" s="139">
        <v>75</v>
      </c>
      <c r="F25" s="323"/>
      <c r="G25" s="323"/>
      <c r="J25" s="273">
        <v>4</v>
      </c>
      <c r="K25" s="224" t="s">
        <v>230</v>
      </c>
      <c r="L25" s="274">
        <v>40</v>
      </c>
      <c r="M25" s="275">
        <v>80</v>
      </c>
      <c r="N25" s="224">
        <v>20</v>
      </c>
      <c r="O25" s="276">
        <v>20</v>
      </c>
    </row>
    <row r="26" spans="2:15" ht="12.75">
      <c r="B26" s="146">
        <v>5</v>
      </c>
      <c r="C26" s="138" t="s">
        <v>238</v>
      </c>
      <c r="D26" s="139">
        <v>65</v>
      </c>
      <c r="F26" s="323"/>
      <c r="G26" s="323"/>
      <c r="J26" s="146">
        <v>5</v>
      </c>
      <c r="K26" s="224" t="s">
        <v>238</v>
      </c>
      <c r="L26" s="274">
        <v>31.666666666666668</v>
      </c>
      <c r="M26" s="275">
        <v>65</v>
      </c>
      <c r="N26" s="224">
        <v>30</v>
      </c>
      <c r="O26" s="276">
        <v>0</v>
      </c>
    </row>
    <row r="27" spans="2:15" ht="12.75">
      <c r="B27" s="146">
        <v>6</v>
      </c>
      <c r="C27" s="138" t="s">
        <v>232</v>
      </c>
      <c r="D27" s="139">
        <v>50</v>
      </c>
      <c r="F27" s="323"/>
      <c r="G27" s="323"/>
      <c r="J27" s="273">
        <v>6</v>
      </c>
      <c r="K27" s="224" t="s">
        <v>232</v>
      </c>
      <c r="L27" s="274">
        <v>26.666666666666668</v>
      </c>
      <c r="M27" s="275">
        <v>50</v>
      </c>
      <c r="N27" s="224">
        <v>30</v>
      </c>
      <c r="O27" s="276">
        <v>0</v>
      </c>
    </row>
    <row r="28" spans="2:15" ht="12.75">
      <c r="B28" s="146">
        <v>7</v>
      </c>
      <c r="C28" s="138" t="s">
        <v>224</v>
      </c>
      <c r="D28" s="139">
        <v>40</v>
      </c>
      <c r="F28" s="323"/>
      <c r="G28" s="323"/>
      <c r="J28" s="146">
        <v>7</v>
      </c>
      <c r="K28" s="224" t="s">
        <v>55</v>
      </c>
      <c r="L28" s="274">
        <v>26.666666666666668</v>
      </c>
      <c r="M28" s="275">
        <v>40</v>
      </c>
      <c r="N28" s="224">
        <v>40</v>
      </c>
      <c r="O28" s="276">
        <v>0</v>
      </c>
    </row>
    <row r="29" spans="2:15" ht="12.75">
      <c r="B29" s="146">
        <v>8</v>
      </c>
      <c r="C29" s="138" t="s">
        <v>240</v>
      </c>
      <c r="D29" s="139">
        <v>40</v>
      </c>
      <c r="F29" s="323"/>
      <c r="G29" s="323"/>
      <c r="J29" s="273">
        <v>8</v>
      </c>
      <c r="K29" s="224" t="s">
        <v>240</v>
      </c>
      <c r="L29" s="274">
        <v>23.333333333333332</v>
      </c>
      <c r="M29" s="275">
        <v>40</v>
      </c>
      <c r="N29" s="224">
        <v>30</v>
      </c>
      <c r="O29" s="276">
        <v>0</v>
      </c>
    </row>
    <row r="30" spans="2:15" ht="12.75">
      <c r="B30" s="146">
        <v>9</v>
      </c>
      <c r="C30" s="138" t="s">
        <v>236</v>
      </c>
      <c r="D30" s="139">
        <v>40</v>
      </c>
      <c r="F30" s="323"/>
      <c r="G30" s="323"/>
      <c r="J30" s="146">
        <v>9</v>
      </c>
      <c r="K30" s="224" t="s">
        <v>236</v>
      </c>
      <c r="L30" s="274">
        <v>23.333333333333332</v>
      </c>
      <c r="M30" s="275">
        <v>40</v>
      </c>
      <c r="N30" s="224">
        <v>30</v>
      </c>
      <c r="O30" s="276">
        <v>0</v>
      </c>
    </row>
    <row r="31" spans="2:15" ht="12.75">
      <c r="B31" s="146">
        <v>10</v>
      </c>
      <c r="C31" s="138" t="s">
        <v>58</v>
      </c>
      <c r="D31" s="139">
        <v>40</v>
      </c>
      <c r="F31" s="323"/>
      <c r="G31" s="323"/>
      <c r="J31" s="273">
        <v>10</v>
      </c>
      <c r="K31" s="224" t="s">
        <v>224</v>
      </c>
      <c r="L31" s="274">
        <v>13.333333333333334</v>
      </c>
      <c r="M31" s="275">
        <v>40</v>
      </c>
      <c r="N31" s="224">
        <v>0</v>
      </c>
      <c r="O31" s="276">
        <v>0</v>
      </c>
    </row>
    <row r="32" spans="2:15" ht="12.75">
      <c r="B32" s="146">
        <v>11</v>
      </c>
      <c r="C32" s="138" t="s">
        <v>234</v>
      </c>
      <c r="D32" s="139">
        <v>40</v>
      </c>
      <c r="F32" s="323"/>
      <c r="G32" s="323"/>
      <c r="J32" s="146">
        <v>11</v>
      </c>
      <c r="K32" s="224" t="s">
        <v>58</v>
      </c>
      <c r="L32" s="274">
        <v>13.333333333333334</v>
      </c>
      <c r="M32" s="275">
        <v>40</v>
      </c>
      <c r="N32" s="224">
        <v>0</v>
      </c>
      <c r="O32" s="276">
        <v>0</v>
      </c>
    </row>
    <row r="33" spans="2:15" ht="12.75">
      <c r="B33" s="146">
        <v>12</v>
      </c>
      <c r="C33" s="138" t="s">
        <v>55</v>
      </c>
      <c r="D33" s="139">
        <v>40</v>
      </c>
      <c r="F33" s="323"/>
      <c r="G33" s="323"/>
      <c r="J33" s="273">
        <v>12</v>
      </c>
      <c r="K33" s="224" t="s">
        <v>234</v>
      </c>
      <c r="L33" s="274">
        <v>13.333333333333334</v>
      </c>
      <c r="M33" s="275">
        <v>40</v>
      </c>
      <c r="N33" s="224">
        <v>0</v>
      </c>
      <c r="O33" s="276">
        <v>0</v>
      </c>
    </row>
    <row r="34" spans="2:15" ht="12.75">
      <c r="B34" s="146">
        <v>13</v>
      </c>
      <c r="C34" s="138"/>
      <c r="D34" s="139">
        <v>0</v>
      </c>
      <c r="F34" s="323"/>
      <c r="G34" s="323"/>
      <c r="J34" s="146">
        <v>13</v>
      </c>
      <c r="K34" s="224"/>
      <c r="L34" s="274">
        <v>0</v>
      </c>
      <c r="M34" s="275">
        <v>0</v>
      </c>
      <c r="N34" s="224">
        <v>0</v>
      </c>
      <c r="O34" s="276">
        <v>0</v>
      </c>
    </row>
    <row r="35" spans="2:15" ht="12.75">
      <c r="B35" s="146">
        <v>14</v>
      </c>
      <c r="C35" s="138"/>
      <c r="D35" s="139">
        <v>0</v>
      </c>
      <c r="J35" s="273">
        <v>14</v>
      </c>
      <c r="K35" s="224"/>
      <c r="L35" s="274">
        <v>0</v>
      </c>
      <c r="M35" s="275">
        <v>0</v>
      </c>
      <c r="N35" s="224">
        <v>0</v>
      </c>
      <c r="O35" s="276">
        <v>0</v>
      </c>
    </row>
    <row r="36" spans="2:15" ht="12.75">
      <c r="B36" s="146">
        <v>15</v>
      </c>
      <c r="C36" s="138"/>
      <c r="D36" s="139">
        <v>0</v>
      </c>
      <c r="J36" s="146">
        <v>15</v>
      </c>
      <c r="K36" s="224"/>
      <c r="L36" s="274">
        <v>0</v>
      </c>
      <c r="M36" s="275">
        <v>0</v>
      </c>
      <c r="N36" s="224">
        <v>0</v>
      </c>
      <c r="O36" s="276">
        <v>0</v>
      </c>
    </row>
    <row r="37" spans="2:15" ht="12.75">
      <c r="B37" s="146">
        <v>16</v>
      </c>
      <c r="C37" s="138"/>
      <c r="D37" s="139">
        <v>0</v>
      </c>
      <c r="J37" s="273">
        <v>16</v>
      </c>
      <c r="K37" s="224"/>
      <c r="L37" s="274">
        <v>0</v>
      </c>
      <c r="M37" s="275">
        <v>0</v>
      </c>
      <c r="N37" s="224">
        <v>0</v>
      </c>
      <c r="O37" s="276">
        <v>0</v>
      </c>
    </row>
    <row r="38" spans="2:15" ht="13.5" thickBot="1">
      <c r="B38" s="147">
        <v>17</v>
      </c>
      <c r="C38" s="143"/>
      <c r="D38" s="144">
        <v>0</v>
      </c>
      <c r="J38" s="146">
        <v>17</v>
      </c>
      <c r="K38" s="277"/>
      <c r="L38" s="278">
        <v>0</v>
      </c>
      <c r="M38" s="279">
        <v>0</v>
      </c>
      <c r="N38" s="277">
        <v>0</v>
      </c>
      <c r="O38" s="280">
        <v>0</v>
      </c>
    </row>
    <row r="40" spans="5:18" ht="12.75">
      <c r="E40" s="128"/>
      <c r="F40" s="148"/>
      <c r="Q40" s="128"/>
      <c r="R40" s="148"/>
    </row>
    <row r="41" spans="5:18" ht="12.75">
      <c r="E41" s="128"/>
      <c r="F41" s="148"/>
      <c r="Q41" s="128"/>
      <c r="R41" s="148"/>
    </row>
    <row r="42" spans="5:18" ht="12.75">
      <c r="E42" s="128"/>
      <c r="F42" s="148"/>
      <c r="Q42" s="128"/>
      <c r="R42" s="148"/>
    </row>
    <row r="43" spans="5:18" ht="12.75">
      <c r="E43" s="128"/>
      <c r="F43" s="148"/>
      <c r="Q43" s="128"/>
      <c r="R43" s="148"/>
    </row>
    <row r="44" spans="5:18" ht="12.75">
      <c r="E44" s="128"/>
      <c r="F44" s="148"/>
      <c r="Q44" s="128"/>
      <c r="R44" s="148"/>
    </row>
    <row r="45" spans="5:18" ht="13.5" thickBot="1">
      <c r="E45" s="128"/>
      <c r="F45" s="148"/>
      <c r="Q45" s="128"/>
      <c r="R45" s="148"/>
    </row>
    <row r="46" spans="3:18" ht="18">
      <c r="C46" s="285" t="s">
        <v>222</v>
      </c>
      <c r="E46" s="128"/>
      <c r="F46" s="148"/>
      <c r="Q46" s="128"/>
      <c r="R46" s="148"/>
    </row>
    <row r="47" spans="3:18" ht="18">
      <c r="C47" s="141" t="s">
        <v>55</v>
      </c>
      <c r="E47" s="128"/>
      <c r="F47" s="148"/>
      <c r="Q47" s="128"/>
      <c r="R47" s="148"/>
    </row>
    <row r="48" spans="3:18" ht="18">
      <c r="C48" s="141" t="s">
        <v>58</v>
      </c>
      <c r="E48" s="128"/>
      <c r="F48" s="148"/>
      <c r="Q48" s="128"/>
      <c r="R48" s="148"/>
    </row>
    <row r="49" spans="3:18" ht="18">
      <c r="C49" s="141" t="s">
        <v>224</v>
      </c>
      <c r="E49" s="128"/>
      <c r="F49" s="148"/>
      <c r="Q49" s="128"/>
      <c r="R49" s="148"/>
    </row>
    <row r="50" spans="3:18" ht="18">
      <c r="C50" s="141" t="s">
        <v>226</v>
      </c>
      <c r="E50" s="128"/>
      <c r="F50" s="148"/>
      <c r="Q50" s="128"/>
      <c r="R50" s="148"/>
    </row>
    <row r="51" spans="3:18" ht="18">
      <c r="C51" s="141" t="s">
        <v>228</v>
      </c>
      <c r="E51" s="128"/>
      <c r="F51" s="148"/>
      <c r="Q51" s="128"/>
      <c r="R51" s="148"/>
    </row>
    <row r="52" spans="3:18" ht="18">
      <c r="C52" s="141" t="s">
        <v>230</v>
      </c>
      <c r="E52" s="128"/>
      <c r="F52" s="148"/>
      <c r="Q52" s="128"/>
      <c r="R52" s="148"/>
    </row>
    <row r="53" spans="3:18" ht="18">
      <c r="C53" s="141" t="s">
        <v>232</v>
      </c>
      <c r="E53" s="128"/>
      <c r="F53" s="148"/>
      <c r="Q53" s="128"/>
      <c r="R53" s="148"/>
    </row>
    <row r="54" spans="3:18" ht="18">
      <c r="C54" s="141" t="s">
        <v>234</v>
      </c>
      <c r="E54" s="128"/>
      <c r="F54" s="148"/>
      <c r="Q54" s="128"/>
      <c r="R54" s="148"/>
    </row>
    <row r="55" spans="3:18" ht="18">
      <c r="C55" s="141" t="s">
        <v>236</v>
      </c>
      <c r="E55" s="128"/>
      <c r="F55" s="148"/>
      <c r="Q55" s="128"/>
      <c r="R55" s="148"/>
    </row>
    <row r="56" spans="3:18" ht="18">
      <c r="C56" s="141" t="s">
        <v>238</v>
      </c>
      <c r="E56" s="128"/>
      <c r="F56" s="148"/>
      <c r="Q56" s="128"/>
      <c r="R56" s="148"/>
    </row>
    <row r="57" spans="3:18" ht="18">
      <c r="C57" s="141" t="s">
        <v>240</v>
      </c>
      <c r="E57" s="128"/>
      <c r="F57" s="148"/>
      <c r="Q57" s="128"/>
      <c r="R57" s="148"/>
    </row>
    <row r="58" spans="5:18" ht="12.75">
      <c r="E58" s="128"/>
      <c r="F58" s="148"/>
      <c r="Q58" s="128"/>
      <c r="R58" s="148"/>
    </row>
    <row r="59" spans="5:18" ht="12.75">
      <c r="E59" s="128"/>
      <c r="F59" s="148"/>
      <c r="Q59" s="128"/>
      <c r="R59" s="148"/>
    </row>
    <row r="60" spans="5:18" ht="12.75">
      <c r="E60" s="128"/>
      <c r="F60" s="148"/>
      <c r="Q60" s="128"/>
      <c r="R60" s="148"/>
    </row>
    <row r="61" spans="5:18" ht="12.75">
      <c r="E61" s="128"/>
      <c r="F61" s="148"/>
      <c r="Q61" s="128"/>
      <c r="R61" s="148"/>
    </row>
    <row r="62" spans="5:18" ht="12.75">
      <c r="E62" s="128"/>
      <c r="F62" s="148"/>
      <c r="Q62" s="128"/>
      <c r="R62" s="148"/>
    </row>
    <row r="63" spans="5:18" ht="12.75">
      <c r="E63" s="128"/>
      <c r="F63" s="148"/>
      <c r="Q63" s="128"/>
      <c r="R63" s="148"/>
    </row>
    <row r="64" spans="5:18" ht="12.75">
      <c r="E64" s="128"/>
      <c r="F64" s="148"/>
      <c r="Q64" s="128"/>
      <c r="R64" s="148"/>
    </row>
    <row r="65" spans="5:18" ht="12.75">
      <c r="E65" s="128"/>
      <c r="F65" s="148"/>
      <c r="Q65" s="128"/>
      <c r="R65" s="148"/>
    </row>
    <row r="66" spans="5:18" ht="12.75">
      <c r="E66" s="128"/>
      <c r="F66" s="148"/>
      <c r="Q66" s="128"/>
      <c r="R66" s="148"/>
    </row>
    <row r="67" spans="5:18" ht="12.75">
      <c r="E67" s="128"/>
      <c r="F67" s="148"/>
      <c r="Q67" s="128"/>
      <c r="R67" s="148"/>
    </row>
    <row r="68" spans="5:18" ht="12.75">
      <c r="E68" s="128"/>
      <c r="F68" s="148"/>
      <c r="Q68" s="128"/>
      <c r="R68" s="148"/>
    </row>
    <row r="69" spans="5:18" ht="12.75">
      <c r="E69" s="128"/>
      <c r="F69" s="148"/>
      <c r="Q69" s="128"/>
      <c r="R69" s="148"/>
    </row>
    <row r="70" spans="5:18" ht="12.75">
      <c r="E70" s="128"/>
      <c r="F70" s="148"/>
      <c r="Q70" s="128"/>
      <c r="R70" s="148"/>
    </row>
    <row r="71" spans="5:18" ht="12.75">
      <c r="E71" s="128"/>
      <c r="F71" s="148"/>
      <c r="Q71" s="128"/>
      <c r="R71" s="148"/>
    </row>
    <row r="72" spans="5:18" ht="12.75">
      <c r="E72" s="128"/>
      <c r="F72" s="148"/>
      <c r="Q72" s="128"/>
      <c r="R72" s="148"/>
    </row>
    <row r="73" spans="5:18" ht="12.75">
      <c r="E73" s="128"/>
      <c r="F73" s="148"/>
      <c r="Q73" s="128"/>
      <c r="R73" s="148"/>
    </row>
    <row r="74" spans="5:18" ht="12.75">
      <c r="E74" s="128"/>
      <c r="F74" s="148"/>
      <c r="Q74" s="128"/>
      <c r="R74" s="148"/>
    </row>
    <row r="75" spans="5:18" ht="12.75">
      <c r="E75" s="128"/>
      <c r="F75" s="148"/>
      <c r="Q75" s="128"/>
      <c r="R75" s="148"/>
    </row>
    <row r="76" spans="5:18" ht="12.75">
      <c r="E76" s="128"/>
      <c r="F76" s="148"/>
      <c r="Q76" s="128"/>
      <c r="R76" s="148"/>
    </row>
    <row r="77" spans="5:18" ht="12.75">
      <c r="E77" s="128"/>
      <c r="F77" s="148"/>
      <c r="Q77" s="128"/>
      <c r="R77" s="148"/>
    </row>
    <row r="78" spans="5:18" ht="12.75">
      <c r="E78" s="128"/>
      <c r="F78" s="148"/>
      <c r="Q78" s="128"/>
      <c r="R78" s="148"/>
    </row>
    <row r="79" spans="5:18" ht="12.75">
      <c r="E79" s="128"/>
      <c r="F79" s="148"/>
      <c r="Q79" s="128"/>
      <c r="R79" s="148"/>
    </row>
    <row r="80" spans="5:18" ht="12.75">
      <c r="E80" s="128"/>
      <c r="F80" s="148"/>
      <c r="Q80" s="128"/>
      <c r="R80" s="148"/>
    </row>
    <row r="81" spans="5:18" ht="12.75">
      <c r="E81" s="128"/>
      <c r="F81" s="148"/>
      <c r="Q81" s="128"/>
      <c r="R81" s="148"/>
    </row>
    <row r="82" spans="5:18" ht="12.75">
      <c r="E82" s="128"/>
      <c r="F82" s="148"/>
      <c r="Q82" s="128"/>
      <c r="R82" s="148"/>
    </row>
    <row r="83" spans="5:18" ht="12.75">
      <c r="E83" s="128"/>
      <c r="F83" s="148"/>
      <c r="Q83" s="128"/>
      <c r="R83" s="148"/>
    </row>
    <row r="84" spans="5:18" ht="12.75">
      <c r="E84" s="128"/>
      <c r="F84" s="148"/>
      <c r="Q84" s="128"/>
      <c r="R84" s="148"/>
    </row>
    <row r="85" spans="5:18" ht="12.75">
      <c r="E85" s="128"/>
      <c r="F85" s="148"/>
      <c r="Q85" s="128"/>
      <c r="R85" s="148"/>
    </row>
    <row r="86" spans="5:18" ht="12.75">
      <c r="E86" s="128"/>
      <c r="F86" s="148"/>
      <c r="Q86" s="128"/>
      <c r="R86" s="148"/>
    </row>
    <row r="87" spans="5:18" ht="12.75">
      <c r="E87" s="128"/>
      <c r="F87" s="148"/>
      <c r="Q87" s="128"/>
      <c r="R87" s="148"/>
    </row>
    <row r="88" spans="5:18" ht="12.75">
      <c r="E88" s="128"/>
      <c r="F88" s="148"/>
      <c r="Q88" s="128"/>
      <c r="R88" s="148"/>
    </row>
    <row r="89" spans="5:18" ht="12.75">
      <c r="E89" s="128"/>
      <c r="F89" s="148"/>
      <c r="Q89" s="128"/>
      <c r="R89" s="148"/>
    </row>
    <row r="90" spans="5:18" ht="12.75">
      <c r="E90" s="128"/>
      <c r="F90" s="148"/>
      <c r="Q90" s="128"/>
      <c r="R90" s="148"/>
    </row>
    <row r="91" spans="5:18" ht="12.75">
      <c r="E91" s="128"/>
      <c r="F91" s="148"/>
      <c r="Q91" s="128"/>
      <c r="R91" s="148"/>
    </row>
    <row r="92" spans="5:18" ht="12.75">
      <c r="E92" s="128"/>
      <c r="F92" s="148"/>
      <c r="Q92" s="128"/>
      <c r="R92" s="148"/>
    </row>
    <row r="93" spans="5:18" ht="12.75">
      <c r="E93" s="128"/>
      <c r="F93" s="148"/>
      <c r="Q93" s="128"/>
      <c r="R93" s="148"/>
    </row>
    <row r="94" spans="5:18" ht="12.75">
      <c r="E94" s="128"/>
      <c r="F94" s="148"/>
      <c r="Q94" s="128"/>
      <c r="R94" s="148"/>
    </row>
    <row r="95" spans="5:18" ht="12.75">
      <c r="E95" s="128"/>
      <c r="F95" s="148"/>
      <c r="Q95" s="128"/>
      <c r="R95" s="148"/>
    </row>
    <row r="96" spans="5:18" ht="12.75">
      <c r="E96" s="128"/>
      <c r="F96" s="148"/>
      <c r="Q96" s="128"/>
      <c r="R96" s="148"/>
    </row>
    <row r="97" spans="5:18" ht="12.75">
      <c r="E97" s="128"/>
      <c r="F97" s="148"/>
      <c r="Q97" s="128"/>
      <c r="R97" s="148"/>
    </row>
    <row r="98" spans="5:18" ht="12.75">
      <c r="E98" s="128"/>
      <c r="F98" s="148"/>
      <c r="Q98" s="128"/>
      <c r="R98" s="148"/>
    </row>
    <row r="99" spans="5:18" ht="12.75">
      <c r="E99" s="128"/>
      <c r="F99" s="148"/>
      <c r="Q99" s="128"/>
      <c r="R99" s="148"/>
    </row>
    <row r="100" spans="5:18" ht="12.75">
      <c r="E100" s="128"/>
      <c r="F100" s="148"/>
      <c r="Q100" s="128"/>
      <c r="R100" s="148"/>
    </row>
    <row r="101" spans="5:18" ht="12.75">
      <c r="E101" s="128"/>
      <c r="F101" s="148"/>
      <c r="Q101" s="128"/>
      <c r="R101" s="148"/>
    </row>
    <row r="102" spans="5:18" ht="12.75">
      <c r="E102" s="128"/>
      <c r="F102" s="148"/>
      <c r="Q102" s="128"/>
      <c r="R102" s="148"/>
    </row>
    <row r="103" spans="5:18" ht="12.75">
      <c r="E103" s="128"/>
      <c r="F103" s="148"/>
      <c r="Q103" s="128"/>
      <c r="R103" s="148"/>
    </row>
    <row r="104" spans="5:18" ht="12.75">
      <c r="E104" s="128"/>
      <c r="F104" s="148"/>
      <c r="Q104" s="128"/>
      <c r="R104" s="148"/>
    </row>
    <row r="105" spans="5:18" ht="12.75">
      <c r="E105" s="128"/>
      <c r="F105" s="148"/>
      <c r="Q105" s="128"/>
      <c r="R105" s="148"/>
    </row>
    <row r="106" spans="5:18" ht="12.75">
      <c r="E106" s="128"/>
      <c r="F106" s="148"/>
      <c r="Q106" s="128"/>
      <c r="R106" s="148"/>
    </row>
    <row r="107" spans="5:18" ht="12.75">
      <c r="E107" s="128"/>
      <c r="F107" s="148"/>
      <c r="Q107" s="128"/>
      <c r="R107" s="148"/>
    </row>
    <row r="108" spans="5:18" ht="12.75">
      <c r="E108" s="128"/>
      <c r="F108" s="148"/>
      <c r="Q108" s="128"/>
      <c r="R108" s="148"/>
    </row>
    <row r="109" spans="5:18" ht="12.75">
      <c r="E109" s="128"/>
      <c r="F109" s="148"/>
      <c r="Q109" s="128"/>
      <c r="R109" s="148"/>
    </row>
    <row r="110" spans="5:18" ht="12.75">
      <c r="E110" s="128"/>
      <c r="F110" s="148"/>
      <c r="Q110" s="128"/>
      <c r="R110" s="148"/>
    </row>
    <row r="111" spans="5:18" ht="12.75">
      <c r="E111" s="128"/>
      <c r="F111" s="148"/>
      <c r="Q111" s="128"/>
      <c r="R111" s="148"/>
    </row>
    <row r="112" spans="5:18" ht="12.75">
      <c r="E112" s="128"/>
      <c r="F112" s="148"/>
      <c r="Q112" s="128"/>
      <c r="R112" s="148"/>
    </row>
    <row r="113" spans="5:18" ht="12.75">
      <c r="E113" s="128"/>
      <c r="F113" s="148"/>
      <c r="Q113" s="128"/>
      <c r="R113" s="148"/>
    </row>
    <row r="114" spans="5:18" ht="12.75">
      <c r="E114" s="128"/>
      <c r="F114" s="148"/>
      <c r="Q114" s="128"/>
      <c r="R114" s="148"/>
    </row>
    <row r="115" spans="5:18" ht="12.75">
      <c r="E115" s="128"/>
      <c r="F115" s="148"/>
      <c r="Q115" s="128"/>
      <c r="R115" s="148"/>
    </row>
    <row r="116" spans="5:18" ht="12.75">
      <c r="E116" s="128"/>
      <c r="F116" s="148"/>
      <c r="Q116" s="128"/>
      <c r="R116" s="148"/>
    </row>
    <row r="117" spans="5:18" ht="12.75">
      <c r="E117" s="128"/>
      <c r="F117" s="148"/>
      <c r="Q117" s="128"/>
      <c r="R117" s="148"/>
    </row>
    <row r="118" spans="5:18" ht="12.75">
      <c r="E118" s="128"/>
      <c r="F118" s="148"/>
      <c r="Q118" s="128"/>
      <c r="R118" s="148"/>
    </row>
    <row r="119" spans="5:18" ht="12.75">
      <c r="E119" s="128"/>
      <c r="F119" s="148"/>
      <c r="Q119" s="128"/>
      <c r="R119" s="148"/>
    </row>
    <row r="120" spans="5:18" ht="12.75">
      <c r="E120" s="128"/>
      <c r="F120" s="148"/>
      <c r="Q120" s="128"/>
      <c r="R120" s="148"/>
    </row>
    <row r="121" spans="5:18" ht="12.75">
      <c r="E121" s="128"/>
      <c r="F121" s="148"/>
      <c r="Q121" s="128"/>
      <c r="R121" s="148"/>
    </row>
    <row r="122" spans="5:18" ht="12.75">
      <c r="E122" s="128"/>
      <c r="F122" s="148"/>
      <c r="Q122" s="128"/>
      <c r="R122" s="148"/>
    </row>
    <row r="123" spans="5:18" ht="12.75">
      <c r="E123" s="128"/>
      <c r="F123" s="148"/>
      <c r="Q123" s="128"/>
      <c r="R123" s="148"/>
    </row>
    <row r="124" spans="5:18" ht="12.75">
      <c r="E124" s="128"/>
      <c r="F124" s="148"/>
      <c r="Q124" s="128"/>
      <c r="R124" s="148"/>
    </row>
    <row r="125" spans="5:18" ht="12.75">
      <c r="E125" s="128"/>
      <c r="F125" s="148"/>
      <c r="Q125" s="128"/>
      <c r="R125" s="148"/>
    </row>
    <row r="126" spans="5:18" ht="12.75">
      <c r="E126" s="128"/>
      <c r="F126" s="148"/>
      <c r="Q126" s="128"/>
      <c r="R126" s="148"/>
    </row>
    <row r="127" spans="5:18" ht="12.75">
      <c r="E127" s="128"/>
      <c r="F127" s="148"/>
      <c r="Q127" s="128"/>
      <c r="R127" s="148"/>
    </row>
    <row r="128" spans="5:18" ht="12.75">
      <c r="E128" s="128"/>
      <c r="F128" s="148"/>
      <c r="Q128" s="128"/>
      <c r="R128" s="148"/>
    </row>
    <row r="129" spans="5:18" ht="12.75">
      <c r="E129" s="128"/>
      <c r="F129" s="148"/>
      <c r="Q129" s="128"/>
      <c r="R129" s="148"/>
    </row>
    <row r="130" spans="5:18" ht="12.75">
      <c r="E130" s="128"/>
      <c r="F130" s="148"/>
      <c r="Q130" s="128"/>
      <c r="R130" s="148"/>
    </row>
    <row r="131" spans="5:18" ht="12.75">
      <c r="E131" s="128"/>
      <c r="F131" s="148"/>
      <c r="Q131" s="128"/>
      <c r="R131" s="148"/>
    </row>
    <row r="132" spans="5:18" ht="12.75">
      <c r="E132" s="128"/>
      <c r="F132" s="148"/>
      <c r="Q132" s="128"/>
      <c r="R132" s="148"/>
    </row>
    <row r="133" spans="5:18" ht="12.75">
      <c r="E133" s="128"/>
      <c r="F133" s="148"/>
      <c r="Q133" s="128"/>
      <c r="R133" s="148"/>
    </row>
    <row r="134" spans="5:18" ht="12.75">
      <c r="E134" s="128"/>
      <c r="F134" s="148"/>
      <c r="Q134" s="128"/>
      <c r="R134" s="148"/>
    </row>
    <row r="135" spans="5:18" ht="12.75">
      <c r="E135" s="128"/>
      <c r="F135" s="148"/>
      <c r="Q135" s="128"/>
      <c r="R135" s="148"/>
    </row>
    <row r="136" spans="5:18" ht="12.75">
      <c r="E136" s="128"/>
      <c r="F136" s="148"/>
      <c r="Q136" s="128"/>
      <c r="R136" s="148"/>
    </row>
    <row r="137" spans="5:18" ht="12.75">
      <c r="E137" s="128"/>
      <c r="F137" s="148"/>
      <c r="Q137" s="128"/>
      <c r="R137" s="148"/>
    </row>
    <row r="138" spans="5:18" ht="12.75">
      <c r="E138" s="128"/>
      <c r="F138" s="148"/>
      <c r="Q138" s="128"/>
      <c r="R138" s="148"/>
    </row>
    <row r="139" spans="5:18" ht="12.75">
      <c r="E139" s="128"/>
      <c r="F139" s="148"/>
      <c r="Q139" s="128"/>
      <c r="R139" s="148"/>
    </row>
    <row r="140" spans="5:18" ht="12.75">
      <c r="E140" s="128"/>
      <c r="F140" s="148"/>
      <c r="Q140" s="128"/>
      <c r="R140" s="148"/>
    </row>
    <row r="141" spans="5:18" ht="12.75">
      <c r="E141" s="128"/>
      <c r="F141" s="148"/>
      <c r="Q141" s="128"/>
      <c r="R141" s="148"/>
    </row>
    <row r="142" spans="5:18" ht="12.75">
      <c r="E142" s="128"/>
      <c r="F142" s="148"/>
      <c r="Q142" s="128"/>
      <c r="R142" s="148"/>
    </row>
    <row r="143" spans="5:18" ht="12.75">
      <c r="E143" s="128"/>
      <c r="F143" s="148"/>
      <c r="Q143" s="128"/>
      <c r="R143" s="148"/>
    </row>
    <row r="144" spans="5:18" ht="12.75">
      <c r="E144" s="128"/>
      <c r="F144" s="148"/>
      <c r="Q144" s="128"/>
      <c r="R144" s="148"/>
    </row>
    <row r="145" spans="5:18" ht="12.75">
      <c r="E145" s="128"/>
      <c r="F145" s="148"/>
      <c r="Q145" s="128"/>
      <c r="R145" s="148"/>
    </row>
    <row r="146" spans="5:18" ht="12.75">
      <c r="E146" s="128"/>
      <c r="F146" s="148"/>
      <c r="Q146" s="128"/>
      <c r="R146" s="148"/>
    </row>
    <row r="147" spans="5:18" ht="12.75">
      <c r="E147" s="128"/>
      <c r="F147" s="148"/>
      <c r="Q147" s="128"/>
      <c r="R147" s="148"/>
    </row>
    <row r="148" spans="5:18" ht="12.75">
      <c r="E148" s="128"/>
      <c r="F148" s="148"/>
      <c r="Q148" s="128"/>
      <c r="R148" s="148"/>
    </row>
    <row r="149" spans="5:18" ht="12.75">
      <c r="E149" s="128"/>
      <c r="F149" s="148"/>
      <c r="Q149" s="128"/>
      <c r="R149" s="148"/>
    </row>
    <row r="150" spans="5:18" ht="12.75">
      <c r="E150" s="128"/>
      <c r="F150" s="148"/>
      <c r="Q150" s="128"/>
      <c r="R150" s="148"/>
    </row>
    <row r="151" spans="5:18" ht="12.75">
      <c r="E151" s="128"/>
      <c r="F151" s="148"/>
      <c r="Q151" s="128"/>
      <c r="R151" s="148"/>
    </row>
    <row r="152" spans="5:18" ht="12.75">
      <c r="E152" s="128"/>
      <c r="F152" s="148"/>
      <c r="Q152" s="128"/>
      <c r="R152" s="148"/>
    </row>
    <row r="153" spans="5:18" ht="12.75">
      <c r="E153" s="128"/>
      <c r="F153" s="148"/>
      <c r="Q153" s="128"/>
      <c r="R153" s="148"/>
    </row>
    <row r="154" spans="5:18" ht="12.75">
      <c r="E154" s="128"/>
      <c r="F154" s="148"/>
      <c r="Q154" s="128"/>
      <c r="R154" s="148"/>
    </row>
    <row r="155" spans="5:18" ht="12.75">
      <c r="E155" s="128"/>
      <c r="F155" s="148"/>
      <c r="Q155" s="128"/>
      <c r="R155" s="148"/>
    </row>
    <row r="156" spans="5:18" ht="12.75">
      <c r="E156" s="128"/>
      <c r="F156" s="148"/>
      <c r="Q156" s="128"/>
      <c r="R156" s="148"/>
    </row>
    <row r="157" spans="5:18" ht="12.75">
      <c r="E157" s="128"/>
      <c r="F157" s="148"/>
      <c r="Q157" s="128"/>
      <c r="R157" s="148"/>
    </row>
    <row r="158" spans="5:18" ht="12.75">
      <c r="E158" s="128"/>
      <c r="F158" s="148"/>
      <c r="Q158" s="128"/>
      <c r="R158" s="148"/>
    </row>
    <row r="159" spans="5:18" ht="12.75">
      <c r="E159" s="128"/>
      <c r="F159" s="148"/>
      <c r="Q159" s="128"/>
      <c r="R159" s="148"/>
    </row>
    <row r="160" spans="5:18" ht="12.75">
      <c r="E160" s="128"/>
      <c r="F160" s="148"/>
      <c r="Q160" s="128"/>
      <c r="R160" s="148"/>
    </row>
    <row r="161" spans="5:18" ht="12.75">
      <c r="E161" s="128"/>
      <c r="F161" s="148"/>
      <c r="Q161" s="128"/>
      <c r="R161" s="148"/>
    </row>
    <row r="162" spans="5:18" ht="12.75">
      <c r="E162" s="128"/>
      <c r="F162" s="148"/>
      <c r="Q162" s="128"/>
      <c r="R162" s="148"/>
    </row>
    <row r="163" spans="5:18" ht="12.75">
      <c r="E163" s="128"/>
      <c r="F163" s="148"/>
      <c r="Q163" s="128"/>
      <c r="R163" s="148"/>
    </row>
    <row r="164" spans="5:18" ht="12.75">
      <c r="E164" s="128"/>
      <c r="F164" s="148"/>
      <c r="Q164" s="128"/>
      <c r="R164" s="148"/>
    </row>
    <row r="165" spans="5:18" ht="12.75">
      <c r="E165" s="128"/>
      <c r="F165" s="148"/>
      <c r="Q165" s="128"/>
      <c r="R165" s="148"/>
    </row>
    <row r="166" spans="5:18" ht="12.75">
      <c r="E166" s="128"/>
      <c r="F166" s="148"/>
      <c r="Q166" s="128"/>
      <c r="R166" s="148"/>
    </row>
    <row r="167" spans="5:18" ht="12.75">
      <c r="E167" s="128"/>
      <c r="F167" s="148"/>
      <c r="Q167" s="128"/>
      <c r="R167" s="148"/>
    </row>
    <row r="168" spans="5:18" ht="12.75">
      <c r="E168" s="128"/>
      <c r="F168" s="148"/>
      <c r="Q168" s="128"/>
      <c r="R168" s="148"/>
    </row>
    <row r="169" spans="5:18" ht="12.75">
      <c r="E169" s="128"/>
      <c r="F169" s="148"/>
      <c r="Q169" s="128"/>
      <c r="R169" s="148"/>
    </row>
  </sheetData>
  <mergeCells count="7">
    <mergeCell ref="F1:J1"/>
    <mergeCell ref="L1:O1"/>
    <mergeCell ref="Q1:R1"/>
    <mergeCell ref="B21:D21"/>
    <mergeCell ref="F21:G34"/>
    <mergeCell ref="J21:L21"/>
    <mergeCell ref="M21:O21"/>
  </mergeCells>
  <printOptions/>
  <pageMargins left="0.75" right="0.75" top="1" bottom="1" header="0.5" footer="0.5"/>
  <pageSetup fitToHeight="2" fitToWidth="1" horizontalDpi="300" verticalDpi="300" orientation="landscape" scale="58" r:id="rId1"/>
  <headerFooter alignWithMargins="0">
    <oddHeader>&amp;C&amp;"Arial,Bold"&amp;22November 20, 2004 Los Altos Local Competition Teams and Scores</oddHeader>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5"/>
  <dimension ref="A2:AK80"/>
  <sheetViews>
    <sheetView zoomScale="75" zoomScaleNormal="75" workbookViewId="0" topLeftCell="A1">
      <pane ySplit="4" topLeftCell="BM5" activePane="bottomLeft" state="frozen"/>
      <selection pane="topLeft" activeCell="A1" sqref="A1"/>
      <selection pane="bottomLeft" activeCell="E3" sqref="E3"/>
    </sheetView>
  </sheetViews>
  <sheetFormatPr defaultColWidth="9.140625" defaultRowHeight="12.75"/>
  <cols>
    <col min="1" max="1" width="6.421875" style="0" customWidth="1"/>
    <col min="2" max="2" width="9.28125" style="0" customWidth="1"/>
    <col min="3" max="3" width="10.00390625" style="0" bestFit="1" customWidth="1"/>
    <col min="4" max="4" width="35.00390625" style="0" customWidth="1"/>
    <col min="5" max="5" width="12.421875" style="0" customWidth="1"/>
    <col min="6" max="7" width="8.421875" style="0" customWidth="1"/>
    <col min="8" max="8" width="8.00390625" style="0" customWidth="1"/>
    <col min="9" max="19" width="8.421875" style="0" customWidth="1"/>
    <col min="20" max="20" width="27.8515625" style="0" customWidth="1"/>
    <col min="22" max="22" width="9.8515625" style="0" customWidth="1"/>
  </cols>
  <sheetData>
    <row r="1" ht="13.5" thickBot="1"/>
    <row r="2" spans="1:20" ht="136.5" thickBot="1">
      <c r="A2" s="17"/>
      <c r="B2" s="364" t="s">
        <v>280</v>
      </c>
      <c r="C2" s="364"/>
      <c r="D2" s="364"/>
      <c r="E2" s="20"/>
      <c r="F2" s="21" t="s">
        <v>278</v>
      </c>
      <c r="G2" s="22" t="s">
        <v>11</v>
      </c>
      <c r="H2" s="23" t="s">
        <v>12</v>
      </c>
      <c r="I2" s="23" t="s">
        <v>13</v>
      </c>
      <c r="J2" s="24" t="s">
        <v>14</v>
      </c>
      <c r="K2" s="24" t="s">
        <v>15</v>
      </c>
      <c r="L2" s="25" t="s">
        <v>16</v>
      </c>
      <c r="M2" s="23" t="s">
        <v>17</v>
      </c>
      <c r="N2" s="26" t="s">
        <v>18</v>
      </c>
      <c r="O2" s="27" t="s">
        <v>19</v>
      </c>
      <c r="P2" s="23" t="s">
        <v>20</v>
      </c>
      <c r="Q2" s="28" t="s">
        <v>279</v>
      </c>
      <c r="R2" s="23" t="s">
        <v>21</v>
      </c>
      <c r="S2" s="23" t="s">
        <v>22</v>
      </c>
      <c r="T2" s="365"/>
    </row>
    <row r="3" spans="1:20" ht="21" thickBot="1">
      <c r="A3" s="17"/>
      <c r="B3" s="35" t="s">
        <v>281</v>
      </c>
      <c r="C3" s="35"/>
      <c r="D3" s="35"/>
      <c r="E3" s="30" t="s">
        <v>23</v>
      </c>
      <c r="F3" s="31" t="s">
        <v>24</v>
      </c>
      <c r="G3" s="32" t="s">
        <v>25</v>
      </c>
      <c r="H3" s="311" t="s">
        <v>26</v>
      </c>
      <c r="I3" s="312"/>
      <c r="J3" s="315" t="s">
        <v>27</v>
      </c>
      <c r="K3" s="316"/>
      <c r="L3" s="317" t="s">
        <v>28</v>
      </c>
      <c r="M3" s="312"/>
      <c r="N3" s="318" t="s">
        <v>29</v>
      </c>
      <c r="O3" s="319"/>
      <c r="P3" s="33" t="s">
        <v>30</v>
      </c>
      <c r="Q3" s="34" t="s">
        <v>31</v>
      </c>
      <c r="R3" s="311" t="s">
        <v>32</v>
      </c>
      <c r="S3" s="312"/>
      <c r="T3" s="366"/>
    </row>
    <row r="4" spans="1:36" ht="21" thickBot="1">
      <c r="A4" s="17"/>
      <c r="B4" s="35" t="s">
        <v>282</v>
      </c>
      <c r="C4" s="35"/>
      <c r="D4" s="35"/>
      <c r="E4" s="36">
        <v>400</v>
      </c>
      <c r="F4" s="37">
        <v>40</v>
      </c>
      <c r="G4" s="37">
        <v>40</v>
      </c>
      <c r="H4" s="37">
        <v>30</v>
      </c>
      <c r="I4" s="37" t="s">
        <v>33</v>
      </c>
      <c r="J4" s="37">
        <v>25</v>
      </c>
      <c r="K4" s="37">
        <v>35</v>
      </c>
      <c r="L4" s="37">
        <v>25</v>
      </c>
      <c r="M4" s="37">
        <v>35</v>
      </c>
      <c r="N4" s="37">
        <v>35</v>
      </c>
      <c r="O4" s="37">
        <v>40</v>
      </c>
      <c r="P4" s="37">
        <v>40</v>
      </c>
      <c r="Q4" s="37">
        <v>30</v>
      </c>
      <c r="R4" s="37" t="s">
        <v>34</v>
      </c>
      <c r="S4" s="372" t="s">
        <v>35</v>
      </c>
      <c r="T4" s="367"/>
      <c r="U4" s="369"/>
      <c r="V4" s="369"/>
      <c r="W4" s="369"/>
      <c r="X4" s="369"/>
      <c r="Y4" s="370"/>
      <c r="Z4" s="369"/>
      <c r="AA4" s="369"/>
      <c r="AB4" s="369"/>
      <c r="AC4" s="369"/>
      <c r="AD4" s="369"/>
      <c r="AE4" s="369"/>
      <c r="AF4" s="369"/>
      <c r="AG4" s="369"/>
      <c r="AH4" s="369"/>
      <c r="AI4" s="369"/>
      <c r="AJ4" s="369"/>
    </row>
    <row r="5" spans="1:37" ht="23.25" customHeight="1" thickBot="1">
      <c r="A5" s="332" t="s">
        <v>74</v>
      </c>
      <c r="B5" s="41" t="s">
        <v>37</v>
      </c>
      <c r="C5" s="41" t="s">
        <v>38</v>
      </c>
      <c r="D5" s="41" t="s">
        <v>39</v>
      </c>
      <c r="E5" s="269">
        <f>IF(OR(J5&lt;&gt;"",N5&lt;&gt;"",R5&lt;&gt;"",L5&lt;&gt;"",H5&lt;&gt;""),"Error","")</f>
      </c>
      <c r="F5" s="43"/>
      <c r="G5" s="44"/>
      <c r="H5" s="313">
        <f>IF(OR(AND(I6&gt;0,H6&lt;&gt;"Y"),AND(I7&gt;0,H7&lt;&gt;"Y")),CONCATENATE("Mark ",CHAR(34),"Any Flag Up",CHAR(34)),"")</f>
      </c>
      <c r="I5" s="313"/>
      <c r="J5" s="313">
        <f>IF(OR((AND(J6="y",K6="y")),(AND(J7="y",K7="y"))),"Too Many Artifacts","")</f>
      </c>
      <c r="K5" s="313"/>
      <c r="L5" s="313">
        <f>IF(AND(L6="Y",L7="Y"),"Too Many Dolphins","")</f>
      </c>
      <c r="M5" s="313"/>
      <c r="N5" s="313">
        <f>IF(OR((AND(N6="y",O6="y")),(AND(N7="y",O7="y"))),"Only 1 Sub","")</f>
      </c>
      <c r="O5" s="313"/>
      <c r="P5" s="45"/>
      <c r="Q5" s="46"/>
      <c r="R5" s="313">
        <f>IF(OR(R6+S6&gt;8,R7+S7&gt;8),"Too Many Crates","")</f>
      </c>
      <c r="S5" s="330"/>
      <c r="T5" s="373"/>
      <c r="U5" s="371">
        <v>0</v>
      </c>
      <c r="V5" s="369" t="s">
        <v>251</v>
      </c>
      <c r="W5" s="369"/>
      <c r="X5" s="369"/>
      <c r="Y5" s="369"/>
      <c r="Z5" s="369"/>
      <c r="AA5" s="369"/>
      <c r="AB5" s="369"/>
      <c r="AC5" s="369"/>
      <c r="AD5" s="369"/>
      <c r="AE5" s="369"/>
      <c r="AF5" s="369"/>
      <c r="AG5" s="369"/>
      <c r="AH5" s="369"/>
      <c r="AI5" s="369"/>
      <c r="AJ5" s="369"/>
      <c r="AK5" s="369"/>
    </row>
    <row r="6" spans="1:22" ht="26.25" thickBot="1">
      <c r="A6" s="333"/>
      <c r="B6" s="150">
        <v>1</v>
      </c>
      <c r="C6" s="151">
        <f>A_StartTime</f>
        <v>0.06597222222222222</v>
      </c>
      <c r="D6" s="125" t="str">
        <f>Team4</f>
        <v>Lords of the Legos</v>
      </c>
      <c r="E6" s="51">
        <f>IF(NOT(OR(AND($H6&lt;&gt;"Y",$I6&gt;0),AND($J6="Y",$K6="Y"),AND($L6="Y",$L7="Y"),AND($N6="Y",$O6="Y"),OR($R6+$S6&gt;8,$R6+$S6&lt;0))),(IF(F6="y",$F$4,0))+(IF(P6="y",$P$4,0))+(IF(G6="y",$G$4,0))+(IF(H6="y",$H$4,0))+IF(AND(J6="Y",K6="Y"),0,((IF(J6="y",$J$4,0))+(IF(K6="y",$K$4,0))))+(IF(L6="y",$L$4,0))+(IF(M6="y",$M$4,0))+IF(AND(N6="Y",O6="Y"),0,(IF(N6="y",$N$4,0))+(IF(O6="y",$O$4,0)))+(IF(Q6="y",$Q$4,0))+IF((R6+S6&lt;=8),(IF((0&lt;R6)*(R6&lt;=8),R6*2,0))+(IF((0&lt;S6)*(S6&lt;=8),S6*5,0)),0)+IF((I6&lt;=3)*(I6&gt;=0),I6*15,0),"Error")</f>
        <v>0</v>
      </c>
      <c r="F6" s="52"/>
      <c r="G6" s="52"/>
      <c r="H6" s="52"/>
      <c r="I6" s="52"/>
      <c r="J6" s="52"/>
      <c r="K6" s="52"/>
      <c r="L6" s="52"/>
      <c r="M6" s="52"/>
      <c r="N6" s="52"/>
      <c r="O6" s="52"/>
      <c r="P6" s="52"/>
      <c r="Q6" s="52"/>
      <c r="R6" s="53"/>
      <c r="S6" s="52"/>
      <c r="T6" s="374"/>
      <c r="U6" s="268">
        <v>0.06597222222222222</v>
      </c>
      <c r="V6" t="s">
        <v>250</v>
      </c>
    </row>
    <row r="7" spans="1:22" ht="26.25" thickBot="1">
      <c r="A7" s="333"/>
      <c r="B7" s="150">
        <v>2</v>
      </c>
      <c r="C7" s="151"/>
      <c r="D7" s="125" t="str">
        <f>Team8</f>
        <v>Lego Stars</v>
      </c>
      <c r="E7" s="59">
        <f>IF(NOT(OR(AND($H7&lt;&gt;"Y",$I7&gt;0),AND($J7="Y",$K7="Y"),AND($L7="Y",$L6="Y"),AND($N7="Y",$O7="Y"),OR($R7+$S7&gt;8,$R7+$S7&lt;0))),(IF(F7="y",$F$4,0))+(IF(P7="y",$P$4,0))+(IF(G7="y",$G$4,0))+(IF(H7="y",$H$4,0))+IF(AND(J7="Y",K7="Y"),0,((IF(J7="y",$J$4,0))+(IF(K7="y",$K$4,0))))+(IF(L7="y",$L$4,0))+(IF(M7="y",$M$4,0))+IF(AND(N7="Y",O7="Y"),0,(IF(N7="y",$N$4,0))+(IF(O7="y",$O$4,0)))+(IF(Q7="y",$Q$4,0))+IF((R7+S7&lt;=8),(IF((0&lt;R7)*(R7&lt;=8),R7*2,0))+(IF((0&lt;S7)*(S7&lt;=8),S7*5,0)),0)+IF((I7&lt;=3)*(I7&gt;=0),I7*15,0),"Error")</f>
        <v>0</v>
      </c>
      <c r="F7" s="53"/>
      <c r="G7" s="53"/>
      <c r="H7" s="53"/>
      <c r="I7" s="53"/>
      <c r="J7" s="53"/>
      <c r="K7" s="53"/>
      <c r="L7" s="53"/>
      <c r="M7" s="53"/>
      <c r="N7" s="53"/>
      <c r="O7" s="53"/>
      <c r="P7" s="53"/>
      <c r="Q7" s="53"/>
      <c r="R7" s="53"/>
      <c r="S7" s="53"/>
      <c r="T7" s="374"/>
      <c r="U7" s="268">
        <v>0.004861111111111111</v>
      </c>
      <c r="V7" t="s">
        <v>252</v>
      </c>
    </row>
    <row r="8" spans="1:20" ht="23.25" thickBot="1">
      <c r="A8" s="333"/>
      <c r="B8" s="61" t="s">
        <v>37</v>
      </c>
      <c r="C8" s="61" t="s">
        <v>38</v>
      </c>
      <c r="D8" s="61" t="s">
        <v>39</v>
      </c>
      <c r="E8" s="42">
        <f>IF(OR(J8&lt;&gt;"",N8&lt;&gt;"",R8&lt;&gt;"",L8&lt;&gt;"",H8&lt;&gt;""),"Error","")</f>
      </c>
      <c r="F8" s="62"/>
      <c r="G8" s="63"/>
      <c r="H8" s="310"/>
      <c r="I8" s="310"/>
      <c r="J8" s="310"/>
      <c r="K8" s="310"/>
      <c r="L8" s="310"/>
      <c r="M8" s="310"/>
      <c r="N8" s="310"/>
      <c r="O8" s="310"/>
      <c r="P8" s="64"/>
      <c r="Q8" s="65"/>
      <c r="R8" s="310"/>
      <c r="S8" s="331"/>
      <c r="T8" s="375"/>
    </row>
    <row r="9" spans="1:20" ht="26.25" thickBot="1">
      <c r="A9" s="333"/>
      <c r="B9" s="150">
        <v>1</v>
      </c>
      <c r="C9" s="151">
        <f>C6+A_CycleTime</f>
        <v>0.07083333333333333</v>
      </c>
      <c r="D9" s="125" t="str">
        <f>Team11</f>
        <v>LEGO Legends</v>
      </c>
      <c r="E9" s="68">
        <f>IF(NOT(OR(AND($H9&lt;&gt;"Y",$I9&gt;0),AND($J9="Y",$K9="Y"),AND($L9="Y",$L10="Y"),AND($N9="Y",$O9="Y"),OR($R9+$S9&gt;8,$R9+$S9&lt;0))),(IF(F9="y",$F$4,0))+(IF(P9="y",$P$4,0))+(IF(G9="y",$G$4,0))+(IF(H9="y",$H$4,0))+IF(AND(J9="Y",K9="Y"),0,((IF(J9="y",$J$4,0))+(IF(K9="y",$K$4,0))))+(IF(L9="y",$L$4,0))+(IF(M9="y",$M$4,0))+IF(AND(N9="Y",O9="Y"),0,(IF(N9="y",$N$4,0))+(IF(O9="y",$O$4,0)))+(IF(Q9="y",$Q$4,0))+IF((R9+S9&lt;=8),(IF((0&lt;R9)*(R9&lt;=8),R9*2,0))+(IF((0&lt;S9)*(S9&lt;=8),S9*5,0)),0)+IF((I9&lt;=3)*(I9&gt;=0),I9*15,0),"Error")</f>
        <v>0</v>
      </c>
      <c r="F9" s="53"/>
      <c r="G9" s="53"/>
      <c r="H9" s="53"/>
      <c r="I9" s="53"/>
      <c r="J9" s="53"/>
      <c r="K9" s="53"/>
      <c r="L9" s="53"/>
      <c r="M9" s="53"/>
      <c r="N9" s="53"/>
      <c r="O9" s="53"/>
      <c r="P9" s="53"/>
      <c r="Q9" s="53"/>
      <c r="R9" s="53"/>
      <c r="S9" s="53"/>
      <c r="T9" s="374"/>
    </row>
    <row r="10" spans="1:20" ht="26.25" thickBot="1">
      <c r="A10" s="333"/>
      <c r="B10" s="150">
        <v>2</v>
      </c>
      <c r="C10" s="151"/>
      <c r="D10" s="125" t="str">
        <f>Team7</f>
        <v>Rocking Robotics</v>
      </c>
      <c r="E10" s="68">
        <f>IF(NOT(OR(AND($H10&lt;&gt;"Y",$I10&gt;0),AND($J10="Y",$K10="Y"),AND($L10="Y",$L9="Y"),AND($N10="Y",$O10="Y"),OR($R10+$S10&gt;8,$R10+$S10&lt;0))),(IF(F10="y",$F$4,0))+(IF(P10="y",$P$4,0))+(IF(G10="y",$G$4,0))+(IF(H10="y",$H$4,0))+IF(AND(J10="Y",K10="Y"),0,((IF(J10="y",$J$4,0))+(IF(K10="y",$K$4,0))))+(IF(L10="y",$L$4,0))+(IF(M10="y",$M$4,0))+IF(AND(N10="Y",O10="Y"),0,(IF(N10="y",$N$4,0))+(IF(O10="y",$O$4,0)))+(IF(Q10="y",$Q$4,0))+IF((R10+S10&lt;=8),(IF((0&lt;R10)*(R10&lt;=8),R10*2,0))+(IF((0&lt;S10)*(S10&lt;=8),S10*5,0)),0)+IF((I10&lt;=3)*(I10&gt;=0),I10*15,0),"Error")</f>
        <v>0</v>
      </c>
      <c r="F10" s="53"/>
      <c r="G10" s="53"/>
      <c r="H10" s="53"/>
      <c r="I10" s="53"/>
      <c r="J10" s="53"/>
      <c r="K10" s="53"/>
      <c r="L10" s="53"/>
      <c r="M10" s="53"/>
      <c r="N10" s="53"/>
      <c r="O10" s="53"/>
      <c r="P10" s="53"/>
      <c r="Q10" s="53"/>
      <c r="R10" s="53"/>
      <c r="S10" s="53"/>
      <c r="T10" s="374"/>
    </row>
    <row r="11" spans="1:20" ht="23.25" thickBot="1">
      <c r="A11" s="333"/>
      <c r="B11" s="61" t="s">
        <v>37</v>
      </c>
      <c r="C11" s="61" t="s">
        <v>38</v>
      </c>
      <c r="D11" s="61" t="s">
        <v>39</v>
      </c>
      <c r="E11" s="42">
        <f>IF(OR(J11&lt;&gt;"",N11&lt;&gt;"",R11&lt;&gt;"",L11&lt;&gt;"",H11&lt;&gt;""),"Error","")</f>
      </c>
      <c r="F11" s="62"/>
      <c r="G11" s="63"/>
      <c r="H11" s="310"/>
      <c r="I11" s="310"/>
      <c r="J11" s="310"/>
      <c r="K11" s="310"/>
      <c r="L11" s="310"/>
      <c r="M11" s="310"/>
      <c r="N11" s="310"/>
      <c r="O11" s="310"/>
      <c r="P11" s="64"/>
      <c r="Q11" s="65"/>
      <c r="R11" s="310"/>
      <c r="S11" s="331"/>
      <c r="T11" s="375"/>
    </row>
    <row r="12" spans="1:20" ht="26.25" thickBot="1">
      <c r="A12" s="333"/>
      <c r="B12" s="150">
        <v>1</v>
      </c>
      <c r="C12" s="151">
        <f>C9+A_CycleTime</f>
        <v>0.07569444444444444</v>
      </c>
      <c r="D12" s="125" t="str">
        <f>Team5</f>
        <v>AquaBots</v>
      </c>
      <c r="E12" s="68">
        <f>IF(NOT(OR(AND($H12&lt;&gt;"Y",$I12&gt;0),AND($J12="Y",$K12="Y"),AND($L12="Y",$L13="Y"),AND($N12="Y",$O12="Y"),OR($R12+$S12&gt;8,$R12+$S12&lt;0))),(IF(F12="y",$F$4,0))+(IF(P12="y",$P$4,0))+(IF(G12="y",$G$4,0))+(IF(H12="y",$H$4,0))+IF(AND(J12="Y",K12="Y"),0,((IF(J12="y",$J$4,0))+(IF(K12="y",$K$4,0))))+(IF(L12="y",$L$4,0))+(IF(M12="y",$M$4,0))+IF(AND(N12="Y",O12="Y"),0,(IF(N12="y",$N$4,0))+(IF(O12="y",$O$4,0)))+(IF(Q12="y",$Q$4,0))+IF((R12+S12&lt;=8),(IF((0&lt;R12)*(R12&lt;=8),R12*2,0))+(IF((0&lt;S12)*(S12&lt;=8),S12*5,0)),0)+IF((I12&lt;=3)*(I12&gt;=0),I12*15,0),"Error")</f>
        <v>0</v>
      </c>
      <c r="F12" s="53"/>
      <c r="G12" s="53"/>
      <c r="H12" s="53"/>
      <c r="I12" s="53"/>
      <c r="J12" s="53"/>
      <c r="K12" s="53"/>
      <c r="L12" s="53"/>
      <c r="M12" s="53"/>
      <c r="N12" s="53"/>
      <c r="O12" s="53"/>
      <c r="P12" s="53"/>
      <c r="Q12" s="53"/>
      <c r="R12" s="53"/>
      <c r="S12" s="53"/>
      <c r="T12" s="374"/>
    </row>
    <row r="13" spans="1:20" ht="26.25" thickBot="1">
      <c r="A13" s="333"/>
      <c r="B13" s="150">
        <v>2</v>
      </c>
      <c r="C13" s="151"/>
      <c r="D13" s="125" t="str">
        <f>Team9</f>
        <v>SEABEES</v>
      </c>
      <c r="E13" s="68">
        <f>IF(NOT(OR(AND($H13&lt;&gt;"Y",$I13&gt;0),AND($J13="Y",$K13="Y"),AND($L13="Y",$L12="Y"),AND($N13="Y",$O13="Y"),OR($R13+$S13&gt;8,$R13+$S13&lt;0))),(IF(F13="y",$F$4,0))+(IF(P13="y",$P$4,0))+(IF(G13="y",$G$4,0))+(IF(H13="y",$H$4,0))+IF(AND(J13="Y",K13="Y"),0,((IF(J13="y",$J$4,0))+(IF(K13="y",$K$4,0))))+(IF(L13="y",$L$4,0))+(IF(M13="y",$M$4,0))+IF(AND(N13="Y",O13="Y"),0,(IF(N13="y",$N$4,0))+(IF(O13="y",$O$4,0)))+(IF(Q13="y",$Q$4,0))+IF((R13+S13&lt;=8),(IF((0&lt;R13)*(R13&lt;=8),R13*2,0))+(IF((0&lt;S13)*(S13&lt;=8),S13*5,0)),0)+IF((I13&lt;=3)*(I13&gt;=0),I13*15,0),"Error")</f>
        <v>0</v>
      </c>
      <c r="F13" s="53"/>
      <c r="G13" s="53"/>
      <c r="H13" s="53"/>
      <c r="I13" s="53"/>
      <c r="J13" s="53"/>
      <c r="K13" s="53"/>
      <c r="L13" s="53"/>
      <c r="M13" s="53"/>
      <c r="N13" s="53"/>
      <c r="O13" s="53"/>
      <c r="P13" s="53"/>
      <c r="Q13" s="53"/>
      <c r="R13" s="53"/>
      <c r="S13" s="53"/>
      <c r="T13" s="374"/>
    </row>
    <row r="14" spans="1:20" ht="23.25" thickBot="1">
      <c r="A14" s="333"/>
      <c r="B14" s="61" t="s">
        <v>37</v>
      </c>
      <c r="C14" s="61" t="s">
        <v>38</v>
      </c>
      <c r="D14" s="61" t="s">
        <v>39</v>
      </c>
      <c r="E14" s="42">
        <f>IF(OR(J14&lt;&gt;"",N14&lt;&gt;"",R14&lt;&gt;"",L14&lt;&gt;"",H14&lt;&gt;""),"Error","")</f>
      </c>
      <c r="F14" s="62"/>
      <c r="G14" s="63"/>
      <c r="H14" s="310"/>
      <c r="I14" s="310"/>
      <c r="J14" s="310"/>
      <c r="K14" s="310"/>
      <c r="L14" s="310"/>
      <c r="M14" s="310"/>
      <c r="N14" s="310"/>
      <c r="O14" s="310"/>
      <c r="P14" s="64"/>
      <c r="Q14" s="65"/>
      <c r="R14" s="310"/>
      <c r="S14" s="331"/>
      <c r="T14" s="375"/>
    </row>
    <row r="15" spans="1:20" ht="26.25" thickBot="1">
      <c r="A15" s="333"/>
      <c r="B15" s="150">
        <v>1</v>
      </c>
      <c r="C15" s="151">
        <f>C12+A_CycleTime</f>
        <v>0.08055555555555555</v>
      </c>
      <c r="D15" s="125" t="str">
        <f>Team6</f>
        <v>Supersonic Turtles</v>
      </c>
      <c r="E15" s="68">
        <f>IF(NOT(OR(AND($H15&lt;&gt;"Y",$I15&gt;0),AND($J15="Y",$K15="Y"),AND($L15="Y",$L16="Y"),AND($N15="Y",$O15="Y"),OR($R15+$S15&gt;8,$R15+$S15&lt;0))),(IF(F15="y",$F$4,0))+(IF(P15="y",$P$4,0))+(IF(G15="y",$G$4,0))+(IF(H15="y",$H$4,0))+IF(AND(J15="Y",K15="Y"),0,((IF(J15="y",$J$4,0))+(IF(K15="y",$K$4,0))))+(IF(L15="y",$L$4,0))+(IF(M15="y",$M$4,0))+IF(AND(N15="Y",O15="Y"),0,(IF(N15="y",$N$4,0))+(IF(O15="y",$O$4,0)))+(IF(Q15="y",$Q$4,0))+IF((R15+S15&lt;=8),(IF((0&lt;R15)*(R15&lt;=8),R15*2,0))+(IF((0&lt;S15)*(S15&lt;=8),S15*5,0)),0)+IF((I15&lt;=3)*(I15&gt;=0),I15*15,0),"Error")</f>
        <v>0</v>
      </c>
      <c r="F15" s="53"/>
      <c r="G15" s="53"/>
      <c r="H15" s="53"/>
      <c r="I15" s="53"/>
      <c r="J15" s="53"/>
      <c r="K15" s="53"/>
      <c r="L15" s="53"/>
      <c r="M15" s="53"/>
      <c r="N15" s="53"/>
      <c r="O15" s="53"/>
      <c r="P15" s="53"/>
      <c r="Q15" s="53"/>
      <c r="R15" s="53"/>
      <c r="S15" s="53"/>
      <c r="T15" s="374"/>
    </row>
    <row r="16" spans="1:20" ht="26.25" thickBot="1">
      <c r="A16" s="334"/>
      <c r="B16" s="150">
        <v>2</v>
      </c>
      <c r="C16" s="151"/>
      <c r="D16" s="125" t="str">
        <f>Team10</f>
        <v>Defy Gravity</v>
      </c>
      <c r="E16" s="68">
        <f>IF(NOT(OR(AND($H16&lt;&gt;"Y",$I16&gt;0),AND($J16="Y",$K16="Y"),AND($L16="Y",$L15="Y"),AND($N16="Y",$O16="Y"),OR($R16+$S16&gt;8,$R16+$S16&lt;0))),(IF(F16="y",$F$4,0))+(IF(P16="y",$P$4,0))+(IF(G16="y",$G$4,0))+(IF(H16="y",$H$4,0))+IF(AND(J16="Y",K16="Y"),0,((IF(J16="y",$J$4,0))+(IF(K16="y",$K$4,0))))+(IF(L16="y",$L$4,0))+(IF(M16="y",$M$4,0))+IF(AND(N16="Y",O16="Y"),0,(IF(N16="y",$N$4,0))+(IF(O16="y",$O$4,0)))+(IF(Q16="y",$Q$4,0))+IF((R16+S16&lt;=8),(IF((0&lt;R16)*(R16&lt;=8),R16*2,0))+(IF((0&lt;S16)*(S16&lt;=8),S16*5,0)),0)+IF((I16&lt;=3)*(I16&gt;=0),I16*15,0),"Error")</f>
        <v>0</v>
      </c>
      <c r="F16" s="53"/>
      <c r="G16" s="53"/>
      <c r="H16" s="53"/>
      <c r="I16" s="53"/>
      <c r="J16" s="53"/>
      <c r="K16" s="53"/>
      <c r="L16" s="53"/>
      <c r="M16" s="53"/>
      <c r="N16" s="53"/>
      <c r="O16" s="53"/>
      <c r="P16" s="53"/>
      <c r="Q16" s="53"/>
      <c r="R16" s="53"/>
      <c r="S16" s="53"/>
      <c r="T16" s="374"/>
    </row>
    <row r="17" ht="13.5" thickBot="1">
      <c r="T17" s="376"/>
    </row>
    <row r="18" spans="1:22" ht="23.25" customHeight="1" thickBot="1">
      <c r="A18" s="332" t="s">
        <v>75</v>
      </c>
      <c r="B18" s="41" t="s">
        <v>37</v>
      </c>
      <c r="C18" s="41" t="s">
        <v>38</v>
      </c>
      <c r="D18" s="41" t="s">
        <v>39</v>
      </c>
      <c r="E18" s="269">
        <f>IF(OR(J18&lt;&gt;"",N18&lt;&gt;"",R18&lt;&gt;"",L18&lt;&gt;"",H18&lt;&gt;""),"Error","")</f>
      </c>
      <c r="F18" s="43"/>
      <c r="G18" s="44"/>
      <c r="H18" s="313"/>
      <c r="I18" s="313"/>
      <c r="J18" s="313"/>
      <c r="K18" s="313"/>
      <c r="L18" s="313"/>
      <c r="M18" s="313"/>
      <c r="N18" s="313"/>
      <c r="O18" s="313"/>
      <c r="P18" s="45"/>
      <c r="Q18" s="46"/>
      <c r="R18" s="313"/>
      <c r="S18" s="330"/>
      <c r="T18" s="373"/>
      <c r="U18" s="268">
        <v>0</v>
      </c>
      <c r="V18" t="s">
        <v>251</v>
      </c>
    </row>
    <row r="19" spans="1:22" ht="26.25" thickBot="1">
      <c r="A19" s="333"/>
      <c r="B19" s="150">
        <v>1</v>
      </c>
      <c r="C19" s="151">
        <f>B_StartTime</f>
        <v>0.08541666666666665</v>
      </c>
      <c r="D19" s="125" t="str">
        <f>Team12</f>
        <v>DogBots</v>
      </c>
      <c r="E19" s="51">
        <f>IF(NOT(OR(AND($H19&lt;&gt;"Y",$I19&gt;0),AND($J19="Y",$K19="Y"),AND($L19="Y",$L20="Y"),AND($N19="Y",$O19="Y"),OR($R19+$S19&gt;8,$R19+$S19&lt;0))),(IF(F19="y",$F$4,0))+(IF(P19="y",$P$4,0))+(IF(G19="y",$G$4,0))+(IF(H19="y",$H$4,0))+IF(AND(J19="Y",K19="Y"),0,((IF(J19="y",$J$4,0))+(IF(K19="y",$K$4,0))))+(IF(L19="y",$L$4,0))+(IF(M19="y",$M$4,0))+IF(AND(N19="Y",O19="Y"),0,(IF(N19="y",$N$4,0))+(IF(O19="y",$O$4,0)))+(IF(Q19="y",$Q$4,0))+IF((R19+S19&lt;=8),(IF((0&lt;R19)*(R19&lt;=8),R19*2,0))+(IF((0&lt;S19)*(S19&lt;=8),S19*5,0)),0)+IF((I19&lt;=3)*(I19&gt;=0),I19*15,0),"Error")</f>
        <v>0</v>
      </c>
      <c r="F19" s="52"/>
      <c r="G19" s="52"/>
      <c r="H19" s="52"/>
      <c r="I19" s="52"/>
      <c r="J19" s="52"/>
      <c r="K19" s="52"/>
      <c r="L19" s="52"/>
      <c r="M19" s="52"/>
      <c r="N19" s="52"/>
      <c r="O19" s="52"/>
      <c r="P19" s="52"/>
      <c r="Q19" s="52"/>
      <c r="R19" s="53"/>
      <c r="S19" s="52"/>
      <c r="T19" s="368"/>
      <c r="U19" s="268">
        <f>C15+A_CycleTime+B_BreakTime</f>
        <v>0.08541666666666665</v>
      </c>
      <c r="V19" t="s">
        <v>250</v>
      </c>
    </row>
    <row r="20" spans="1:22" ht="26.25" thickBot="1">
      <c r="A20" s="333"/>
      <c r="B20" s="150">
        <v>2</v>
      </c>
      <c r="C20" s="151"/>
      <c r="D20" s="125" t="str">
        <f>Team7</f>
        <v>Rocking Robotics</v>
      </c>
      <c r="E20" s="59">
        <f>IF(NOT(OR(AND($H20&lt;&gt;"Y",$I20&gt;0),AND($J20="Y",$K20="Y"),AND($L20="Y",$L19="Y"),AND($N20="Y",$O20="Y"),OR($R20+$S20&gt;8,$R20+$S20&lt;0))),(IF(F20="y",$F$4,0))+(IF(P20="y",$P$4,0))+(IF(G20="y",$G$4,0))+(IF(H20="y",$H$4,0))+IF(AND(J20="Y",K20="Y"),0,((IF(J20="y",$J$4,0))+(IF(K20="y",$K$4,0))))+(IF(L20="y",$L$4,0))+(IF(M20="y",$M$4,0))+IF(AND(N20="Y",O20="Y"),0,(IF(N20="y",$N$4,0))+(IF(O20="y",$O$4,0)))+(IF(Q20="y",$Q$4,0))+IF((R20+S20&lt;=8),(IF((0&lt;R20)*(R20&lt;=8),R20*2,0))+(IF((0&lt;S20)*(S20&lt;=8),S20*5,0)),0)+IF((I20&lt;=3)*(I20&gt;=0),I20*15,0),"Error")</f>
        <v>0</v>
      </c>
      <c r="F20" s="53"/>
      <c r="G20" s="53"/>
      <c r="H20" s="53"/>
      <c r="I20" s="53"/>
      <c r="J20" s="53"/>
      <c r="K20" s="53"/>
      <c r="L20" s="53"/>
      <c r="M20" s="53"/>
      <c r="N20" s="53"/>
      <c r="O20" s="53"/>
      <c r="P20" s="53"/>
      <c r="Q20" s="53"/>
      <c r="R20" s="53"/>
      <c r="S20" s="53"/>
      <c r="T20" s="368"/>
      <c r="U20" s="268">
        <v>0.004861111111111111</v>
      </c>
      <c r="V20" t="s">
        <v>252</v>
      </c>
    </row>
    <row r="21" spans="1:20" ht="23.25" thickBot="1">
      <c r="A21" s="333"/>
      <c r="B21" s="61" t="s">
        <v>37</v>
      </c>
      <c r="C21" s="61" t="s">
        <v>38</v>
      </c>
      <c r="D21" s="61" t="s">
        <v>39</v>
      </c>
      <c r="E21" s="42">
        <f>IF(OR(J21&lt;&gt;"",N21&lt;&gt;"",R21&lt;&gt;"",L21&lt;&gt;"",H21&lt;&gt;""),"Error","")</f>
      </c>
      <c r="F21" s="62"/>
      <c r="G21" s="63"/>
      <c r="H21" s="310"/>
      <c r="I21" s="310"/>
      <c r="J21" s="310"/>
      <c r="K21" s="310"/>
      <c r="L21" s="310"/>
      <c r="M21" s="310"/>
      <c r="N21" s="310"/>
      <c r="O21" s="310"/>
      <c r="P21" s="64"/>
      <c r="Q21" s="65"/>
      <c r="R21" s="310"/>
      <c r="S21" s="331"/>
      <c r="T21" s="375"/>
    </row>
    <row r="22" spans="1:20" ht="26.25" thickBot="1">
      <c r="A22" s="333"/>
      <c r="B22" s="150">
        <v>1</v>
      </c>
      <c r="C22" s="151">
        <f>C19+B_CycleTime</f>
        <v>0.09027777777777776</v>
      </c>
      <c r="D22" s="125" t="str">
        <f>Team8</f>
        <v>Lego Stars</v>
      </c>
      <c r="E22" s="68">
        <f>IF(NOT(OR(AND($H22&lt;&gt;"Y",$I22&gt;0),AND($J22="Y",$K22="Y"),AND($L22="Y",$L23="Y"),AND($N22="Y",$O22="Y"),OR($R22+$S22&gt;8,$R22+$S22&lt;0))),(IF(F22="y",$F$4,0))+(IF(P22="y",$P$4,0))+(IF(G22="y",$G$4,0))+(IF(H22="y",$H$4,0))+IF(AND(J22="Y",K22="Y"),0,((IF(J22="y",$J$4,0))+(IF(K22="y",$K$4,0))))+(IF(L22="y",$L$4,0))+(IF(M22="y",$M$4,0))+IF(AND(N22="Y",O22="Y"),0,(IF(N22="y",$N$4,0))+(IF(O22="y",$O$4,0)))+(IF(Q22="y",$Q$4,0))+IF((R22+S22&lt;=8),(IF((0&lt;R22)*(R22&lt;=8),R22*2,0))+(IF((0&lt;S22)*(S22&lt;=8),S22*5,0)),0)+IF((I22&lt;=3)*(I22&gt;=0),I22*15,0),"Error")</f>
        <v>0</v>
      </c>
      <c r="F22" s="53"/>
      <c r="G22" s="53"/>
      <c r="H22" s="53"/>
      <c r="I22" s="53"/>
      <c r="J22" s="53"/>
      <c r="K22" s="53"/>
      <c r="L22" s="53"/>
      <c r="M22" s="53"/>
      <c r="N22" s="53"/>
      <c r="O22" s="53"/>
      <c r="P22" s="53"/>
      <c r="Q22" s="53"/>
      <c r="R22" s="53"/>
      <c r="S22" s="53"/>
      <c r="T22" s="374"/>
    </row>
    <row r="23" spans="1:20" ht="26.25" thickBot="1">
      <c r="A23" s="333"/>
      <c r="B23" s="150">
        <v>2</v>
      </c>
      <c r="C23" s="151"/>
      <c r="D23" s="125" t="str">
        <f>Team9</f>
        <v>SEABEES</v>
      </c>
      <c r="E23" s="68">
        <f>IF(NOT(OR(AND($H23&lt;&gt;"Y",$I23&gt;0),AND($J23="Y",$K23="Y"),AND($L23="Y",$L22="Y"),AND($N23="Y",$O23="Y"),OR($R23+$S23&gt;8,$R23+$S23&lt;0))),(IF(F23="y",$F$4,0))+(IF(P23="y",$P$4,0))+(IF(G23="y",$G$4,0))+(IF(H23="y",$H$4,0))+IF(AND(J23="Y",K23="Y"),0,((IF(J23="y",$J$4,0))+(IF(K23="y",$K$4,0))))+(IF(L23="y",$L$4,0))+(IF(M23="y",$M$4,0))+IF(AND(N23="Y",O23="Y"),0,(IF(N23="y",$N$4,0))+(IF(O23="y",$O$4,0)))+(IF(Q23="y",$Q$4,0))+IF((R23+S23&lt;=8),(IF((0&lt;R23)*(R23&lt;=8),R23*2,0))+(IF((0&lt;S23)*(S23&lt;=8),S23*5,0)),0)+IF((I23&lt;=3)*(I23&gt;=0),I23*15,0),"Error")</f>
        <v>0</v>
      </c>
      <c r="F23" s="53"/>
      <c r="G23" s="53"/>
      <c r="H23" s="53"/>
      <c r="I23" s="53"/>
      <c r="J23" s="53"/>
      <c r="K23" s="53"/>
      <c r="L23" s="53"/>
      <c r="M23" s="53"/>
      <c r="N23" s="53"/>
      <c r="O23" s="53"/>
      <c r="P23" s="53"/>
      <c r="Q23" s="53"/>
      <c r="R23" s="53"/>
      <c r="S23" s="53"/>
      <c r="T23" s="374"/>
    </row>
    <row r="24" spans="1:20" ht="23.25" thickBot="1">
      <c r="A24" s="333"/>
      <c r="B24" s="61" t="s">
        <v>37</v>
      </c>
      <c r="C24" s="61" t="s">
        <v>38</v>
      </c>
      <c r="D24" s="61" t="s">
        <v>39</v>
      </c>
      <c r="E24" s="42">
        <f>IF(OR(J24&lt;&gt;"",N24&lt;&gt;"",R24&lt;&gt;"",L24&lt;&gt;"",H24&lt;&gt;""),"Error","")</f>
      </c>
      <c r="F24" s="62"/>
      <c r="G24" s="63"/>
      <c r="H24" s="310"/>
      <c r="I24" s="310"/>
      <c r="J24" s="310"/>
      <c r="K24" s="310"/>
      <c r="L24" s="310"/>
      <c r="M24" s="310"/>
      <c r="N24" s="310"/>
      <c r="O24" s="310"/>
      <c r="P24" s="64"/>
      <c r="Q24" s="65"/>
      <c r="R24" s="310"/>
      <c r="S24" s="331"/>
      <c r="T24" s="375"/>
    </row>
    <row r="25" spans="1:20" ht="26.25" thickBot="1">
      <c r="A25" s="333"/>
      <c r="B25" s="150">
        <v>1</v>
      </c>
      <c r="C25" s="151">
        <f>C22+B_CycleTime</f>
        <v>0.09513888888888887</v>
      </c>
      <c r="D25" s="125" t="str">
        <f>Team10</f>
        <v>Defy Gravity</v>
      </c>
      <c r="E25" s="68">
        <f>IF(NOT(OR(AND($H25&lt;&gt;"Y",$I25&gt;0),AND($J25="Y",$K25="Y"),AND($L25="Y",$L26="Y"),AND($N25="Y",$O25="Y"),OR($R25+$S25&gt;8,$R25+$S25&lt;0))),(IF(F25="y",$F$4,0))+(IF(P25="y",$P$4,0))+(IF(G25="y",$G$4,0))+(IF(H25="y",$H$4,0))+IF(AND(J25="Y",K25="Y"),0,((IF(J25="y",$J$4,0))+(IF(K25="y",$K$4,0))))+(IF(L25="y",$L$4,0))+(IF(M25="y",$M$4,0))+IF(AND(N25="Y",O25="Y"),0,(IF(N25="y",$N$4,0))+(IF(O25="y",$O$4,0)))+(IF(Q25="y",$Q$4,0))+IF((R25+S25&lt;=8),(IF((0&lt;R25)*(R25&lt;=8),R25*2,0))+(IF((0&lt;S25)*(S25&lt;=8),S25*5,0)),0)+IF((I25&lt;=3)*(I25&gt;=0),I25*15,0),"Error")</f>
        <v>0</v>
      </c>
      <c r="F25" s="53"/>
      <c r="G25" s="53"/>
      <c r="H25" s="53"/>
      <c r="I25" s="53"/>
      <c r="J25" s="53"/>
      <c r="K25" s="53"/>
      <c r="L25" s="53"/>
      <c r="M25" s="53"/>
      <c r="N25" s="53"/>
      <c r="O25" s="53"/>
      <c r="P25" s="53"/>
      <c r="Q25" s="53"/>
      <c r="R25" s="53"/>
      <c r="S25" s="53"/>
      <c r="T25" s="374"/>
    </row>
    <row r="26" spans="1:20" ht="26.25" thickBot="1">
      <c r="A26" s="333"/>
      <c r="B26" s="150">
        <v>2</v>
      </c>
      <c r="C26" s="151"/>
      <c r="D26" s="125" t="str">
        <f>Team11</f>
        <v>LEGO Legends</v>
      </c>
      <c r="E26" s="68">
        <f>IF(NOT(OR(AND($H26&lt;&gt;"Y",$I26&gt;0),AND($J26="Y",$K26="Y"),AND($L26="Y",$L25="Y"),AND($N26="Y",$O26="Y"),OR($R26+$S26&gt;8,$R26+$S26&lt;0))),(IF(F26="y",$F$4,0))+(IF(P26="y",$P$4,0))+(IF(G26="y",$G$4,0))+(IF(H26="y",$H$4,0))+IF(AND(J26="Y",K26="Y"),0,((IF(J26="y",$J$4,0))+(IF(K26="y",$K$4,0))))+(IF(L26="y",$L$4,0))+(IF(M26="y",$M$4,0))+IF(AND(N26="Y",O26="Y"),0,(IF(N26="y",$N$4,0))+(IF(O26="y",$O$4,0)))+(IF(Q26="y",$Q$4,0))+IF((R26+S26&lt;=8),(IF((0&lt;R26)*(R26&lt;=8),R26*2,0))+(IF((0&lt;S26)*(S26&lt;=8),S26*5,0)),0)+IF((I26&lt;=3)*(I26&gt;=0),I26*15,0),"Error")</f>
        <v>0</v>
      </c>
      <c r="F26" s="53"/>
      <c r="G26" s="53"/>
      <c r="H26" s="53"/>
      <c r="I26" s="53"/>
      <c r="J26" s="53"/>
      <c r="K26" s="53"/>
      <c r="L26" s="53"/>
      <c r="M26" s="53"/>
      <c r="N26" s="53"/>
      <c r="O26" s="53"/>
      <c r="P26" s="53"/>
      <c r="Q26" s="53"/>
      <c r="R26" s="53"/>
      <c r="S26" s="53"/>
      <c r="T26" s="374"/>
    </row>
    <row r="27" spans="1:20" ht="23.25" thickBot="1">
      <c r="A27" s="333"/>
      <c r="B27" s="61" t="s">
        <v>37</v>
      </c>
      <c r="C27" s="61" t="s">
        <v>38</v>
      </c>
      <c r="D27" s="61" t="s">
        <v>39</v>
      </c>
      <c r="E27" s="42">
        <f>IF(OR(J27&lt;&gt;"",N27&lt;&gt;"",R27&lt;&gt;"",L27&lt;&gt;"",H27&lt;&gt;""),"Error","")</f>
      </c>
      <c r="F27" s="62"/>
      <c r="G27" s="63"/>
      <c r="H27" s="310"/>
      <c r="I27" s="310"/>
      <c r="J27" s="310"/>
      <c r="K27" s="310"/>
      <c r="L27" s="310"/>
      <c r="M27" s="310"/>
      <c r="N27" s="310"/>
      <c r="O27" s="310"/>
      <c r="P27" s="64"/>
      <c r="Q27" s="65"/>
      <c r="R27" s="310"/>
      <c r="S27" s="331"/>
      <c r="T27" s="375"/>
    </row>
    <row r="28" spans="1:20" ht="26.25" thickBot="1">
      <c r="A28" s="333"/>
      <c r="B28" s="150">
        <v>1</v>
      </c>
      <c r="C28" s="151">
        <f>C25+B_CycleTime</f>
        <v>0.09999999999999998</v>
      </c>
      <c r="D28" s="125" t="str">
        <f>Team2</f>
        <v>Gadget Group</v>
      </c>
      <c r="E28" s="68">
        <f>IF(NOT(OR(AND($H28&lt;&gt;"Y",$I28&gt;0),AND($J28="Y",$K28="Y"),AND($L28="Y",$L29="Y"),AND($N28="Y",$O28="Y"),OR($R28+$S28&gt;8,$R28+$S28&lt;0))),(IF(F28="y",$F$4,0))+(IF(P28="y",$P$4,0))+(IF(G28="y",$G$4,0))+(IF(H28="y",$H$4,0))+IF(AND(J28="Y",K28="Y"),0,((IF(J28="y",$J$4,0))+(IF(K28="y",$K$4,0))))+(IF(L28="y",$L$4,0))+(IF(M28="y",$M$4,0))+IF(AND(N28="Y",O28="Y"),0,(IF(N28="y",$N$4,0))+(IF(O28="y",$O$4,0)))+(IF(Q28="y",$Q$4,0))+IF((R28+S28&lt;=8),(IF((0&lt;R28)*(R28&lt;=8),R28*2,0))+(IF((0&lt;S28)*(S28&lt;=8),S28*5,0)),0)+IF((I28&lt;=3)*(I28&gt;=0),I28*15,0),"Error")</f>
        <v>0</v>
      </c>
      <c r="F28" s="53"/>
      <c r="G28" s="53"/>
      <c r="H28" s="53"/>
      <c r="I28" s="53"/>
      <c r="J28" s="53"/>
      <c r="K28" s="53"/>
      <c r="L28" s="53"/>
      <c r="M28" s="53"/>
      <c r="N28" s="53"/>
      <c r="O28" s="53"/>
      <c r="P28" s="53"/>
      <c r="Q28" s="53"/>
      <c r="R28" s="53"/>
      <c r="S28" s="53"/>
      <c r="T28" s="374"/>
    </row>
    <row r="29" spans="1:20" ht="26.25" thickBot="1">
      <c r="A29" s="333"/>
      <c r="B29" s="150">
        <v>2</v>
      </c>
      <c r="C29" s="151"/>
      <c r="D29" s="125" t="str">
        <f>Team12</f>
        <v>DogBots</v>
      </c>
      <c r="E29" s="68">
        <f>IF(NOT(OR(AND($H29&lt;&gt;"Y",$I29&gt;0),AND($J29="Y",$K29="Y"),AND($L29="Y",$L28="Y"),AND($N29="Y",$O29="Y"),OR($R29+$S29&gt;8,$R29+$S29&lt;0))),(IF(F29="y",$F$4,0))+(IF(P29="y",$P$4,0))+(IF(G29="y",$G$4,0))+(IF(H29="y",$H$4,0))+IF(AND(J29="Y",K29="Y"),0,((IF(J29="y",$J$4,0))+(IF(K29="y",$K$4,0))))+(IF(L29="y",$L$4,0))+(IF(M29="y",$M$4,0))+IF(AND(N29="Y",O29="Y"),0,(IF(N29="y",$N$4,0))+(IF(O29="y",$O$4,0)))+(IF(Q29="y",$Q$4,0))+IF((R29+S29&lt;=8),(IF((0&lt;R29)*(R29&lt;=8),R29*2,0))+(IF((0&lt;S29)*(S29&lt;=8),S29*5,0)),0)+IF((I29&lt;=3)*(I29&gt;=0),I29*15,0),"Error")</f>
        <v>0</v>
      </c>
      <c r="F29" s="53"/>
      <c r="G29" s="53"/>
      <c r="H29" s="53"/>
      <c r="I29" s="53"/>
      <c r="J29" s="53"/>
      <c r="K29" s="53"/>
      <c r="L29" s="53"/>
      <c r="M29" s="53"/>
      <c r="N29" s="53"/>
      <c r="O29" s="53"/>
      <c r="P29" s="53"/>
      <c r="Q29" s="53"/>
      <c r="R29" s="53"/>
      <c r="S29" s="53"/>
      <c r="T29" s="374"/>
    </row>
    <row r="30" spans="1:20" ht="23.25" thickBot="1">
      <c r="A30" s="333"/>
      <c r="B30" s="61" t="s">
        <v>37</v>
      </c>
      <c r="C30" s="61" t="s">
        <v>38</v>
      </c>
      <c r="D30" s="61" t="s">
        <v>39</v>
      </c>
      <c r="E30" s="42">
        <f>IF(OR(J30&lt;&gt;"",N30&lt;&gt;"",R30&lt;&gt;"",L30&lt;&gt;"",H30&lt;&gt;""),"Error","")</f>
      </c>
      <c r="F30" s="62"/>
      <c r="G30" s="63"/>
      <c r="H30" s="310"/>
      <c r="I30" s="310"/>
      <c r="J30" s="310"/>
      <c r="K30" s="310"/>
      <c r="L30" s="310"/>
      <c r="M30" s="310"/>
      <c r="N30" s="310"/>
      <c r="O30" s="310"/>
      <c r="P30" s="64"/>
      <c r="Q30" s="65"/>
      <c r="R30" s="310"/>
      <c r="S30" s="331"/>
      <c r="T30" s="375"/>
    </row>
    <row r="31" spans="1:20" ht="26.25" thickBot="1">
      <c r="A31" s="333"/>
      <c r="B31" s="150">
        <v>1</v>
      </c>
      <c r="C31" s="151">
        <f>C28+B_CycleTime</f>
        <v>0.10486111111111109</v>
      </c>
      <c r="D31" s="125" t="str">
        <f>Team3</f>
        <v>Sea Cucumbers</v>
      </c>
      <c r="E31" s="68">
        <f>IF(NOT(OR(AND($H31&lt;&gt;"Y",$I31&gt;0),AND($J31="Y",$K31="Y"),AND($L31="Y",$L32="Y"),AND($N31="Y",$O31="Y"),OR($R31+$S31&gt;8,$R31+$S31&lt;0))),(IF(F31="y",$F$4,0))+(IF(P31="y",$P$4,0))+(IF(G31="y",$G$4,0))+(IF(H31="y",$H$4,0))+IF(AND(J31="Y",K31="Y"),0,((IF(J31="y",$J$4,0))+(IF(K31="y",$K$4,0))))+(IF(L31="y",$L$4,0))+(IF(M31="y",$M$4,0))+IF(AND(N31="Y",O31="Y"),0,(IF(N31="y",$N$4,0))+(IF(O31="y",$O$4,0)))+(IF(Q31="y",$Q$4,0))+IF((R31+S31&lt;=8),(IF((0&lt;R31)*(R31&lt;=8),R31*2,0))+(IF((0&lt;S31)*(S31&lt;=8),S31*5,0)),0)+IF((I31&lt;=3)*(I31&gt;=0),I31*15,0),"Error")</f>
        <v>0</v>
      </c>
      <c r="F31" s="53"/>
      <c r="G31" s="53"/>
      <c r="H31" s="53"/>
      <c r="I31" s="53"/>
      <c r="J31" s="53"/>
      <c r="K31" s="53"/>
      <c r="L31" s="53"/>
      <c r="M31" s="53"/>
      <c r="N31" s="53"/>
      <c r="O31" s="53"/>
      <c r="P31" s="53"/>
      <c r="Q31" s="53"/>
      <c r="R31" s="53"/>
      <c r="S31" s="53"/>
      <c r="T31" s="374"/>
    </row>
    <row r="32" spans="1:20" ht="26.25" thickBot="1">
      <c r="A32" s="334"/>
      <c r="B32" s="150">
        <v>2</v>
      </c>
      <c r="C32" s="151"/>
      <c r="D32" s="125" t="str">
        <f>Team1</f>
        <v>Tumbling Titanics</v>
      </c>
      <c r="E32" s="68">
        <f>IF(NOT(OR(AND($H32&lt;&gt;"Y",$I32&gt;0),AND($J32="Y",$K32="Y"),AND($L32="Y",$L31="Y"),AND($N32="Y",$O32="Y"),OR($R32+$S32&gt;8,$R32+$S32&lt;0))),(IF(F32="y",$F$4,0))+(IF(P32="y",$P$4,0))+(IF(G32="y",$G$4,0))+(IF(H32="y",$H$4,0))+IF(AND(J32="Y",K32="Y"),0,((IF(J32="y",$J$4,0))+(IF(K32="y",$K$4,0))))+(IF(L32="y",$L$4,0))+(IF(M32="y",$M$4,0))+IF(AND(N32="Y",O32="Y"),0,(IF(N32="y",$N$4,0))+(IF(O32="y",$O$4,0)))+(IF(Q32="y",$Q$4,0))+IF((R32+S32&lt;=8),(IF((0&lt;R32)*(R32&lt;=8),R32*2,0))+(IF((0&lt;S32)*(S32&lt;=8),S32*5,0)),0)+IF((I32&lt;=3)*(I32&gt;=0),I32*15,0),"Error")</f>
        <v>0</v>
      </c>
      <c r="F32" s="53"/>
      <c r="G32" s="53"/>
      <c r="H32" s="53"/>
      <c r="I32" s="53"/>
      <c r="J32" s="53"/>
      <c r="K32" s="53"/>
      <c r="L32" s="53"/>
      <c r="M32" s="53"/>
      <c r="N32" s="53"/>
      <c r="O32" s="53"/>
      <c r="P32" s="53"/>
      <c r="Q32" s="53"/>
      <c r="R32" s="53"/>
      <c r="S32" s="53"/>
      <c r="T32" s="374"/>
    </row>
    <row r="33" ht="13.5" thickBot="1">
      <c r="T33" s="376"/>
    </row>
    <row r="34" spans="1:22" ht="23.25" customHeight="1" thickBot="1">
      <c r="A34" s="332" t="s">
        <v>76</v>
      </c>
      <c r="B34" s="41" t="s">
        <v>37</v>
      </c>
      <c r="C34" s="41" t="s">
        <v>38</v>
      </c>
      <c r="D34" s="41" t="s">
        <v>39</v>
      </c>
      <c r="E34" s="269">
        <f>IF(OR(J34&lt;&gt;"",N34&lt;&gt;"",R34&lt;&gt;"",L34&lt;&gt;"",H34&lt;&gt;""),"Error","")</f>
      </c>
      <c r="F34" s="43"/>
      <c r="G34" s="44"/>
      <c r="H34" s="313"/>
      <c r="I34" s="313"/>
      <c r="J34" s="313"/>
      <c r="K34" s="313"/>
      <c r="L34" s="313"/>
      <c r="M34" s="313"/>
      <c r="N34" s="313"/>
      <c r="O34" s="313"/>
      <c r="P34" s="45"/>
      <c r="Q34" s="46"/>
      <c r="R34" s="313"/>
      <c r="S34" s="330"/>
      <c r="T34" s="373"/>
      <c r="U34" s="268">
        <v>0.006944444444444444</v>
      </c>
      <c r="V34" t="s">
        <v>251</v>
      </c>
    </row>
    <row r="35" spans="1:22" ht="26.25" thickBot="1">
      <c r="A35" s="333"/>
      <c r="B35" s="150">
        <v>1</v>
      </c>
      <c r="C35" s="151">
        <f>C_StartTime</f>
        <v>0.11666666666666664</v>
      </c>
      <c r="D35" s="125" t="str">
        <f>Team1</f>
        <v>Tumbling Titanics</v>
      </c>
      <c r="E35" s="51">
        <f>IF(NOT(OR(AND($H35&lt;&gt;"Y",$I35&gt;0),AND($J35="Y",$K35="Y"),AND($L35="Y",$L36="Y"),AND($N35="Y",$O35="Y"),OR($R35+$S35&gt;8,$R35+$S35&lt;0))),(IF(F35="y",$F$4,0))+(IF(P35="y",$P$4,0))+(IF(G35="y",$G$4,0))+(IF(H35="y",$H$4,0))+IF(AND(J35="Y",K35="Y"),0,((IF(J35="y",$J$4,0))+(IF(K35="y",$K$4,0))))+(IF(L35="y",$L$4,0))+(IF(M35="y",$M$4,0))+IF(AND(N35="Y",O35="Y"),0,(IF(N35="y",$N$4,0))+(IF(O35="y",$O$4,0)))+(IF(Q35="y",$Q$4,0))+IF((R35+S35&lt;=8),(IF((0&lt;R35)*(R35&lt;=8),R35*2,0))+(IF((0&lt;S35)*(S35&lt;=8),S35*5,0)),0)+IF((I35&lt;=3)*(I35&gt;=0),I35*15,0),"Error")</f>
        <v>0</v>
      </c>
      <c r="F35" s="52"/>
      <c r="G35" s="52"/>
      <c r="H35" s="52"/>
      <c r="I35" s="52"/>
      <c r="J35" s="52"/>
      <c r="K35" s="52"/>
      <c r="L35" s="52"/>
      <c r="M35" s="52"/>
      <c r="N35" s="52"/>
      <c r="O35" s="52"/>
      <c r="P35" s="52"/>
      <c r="Q35" s="52"/>
      <c r="R35" s="53"/>
      <c r="S35" s="52"/>
      <c r="T35" s="374"/>
      <c r="U35" s="268">
        <f>C31+B_CycleTime+C_BreakTime</f>
        <v>0.11666666666666664</v>
      </c>
      <c r="V35" t="s">
        <v>250</v>
      </c>
    </row>
    <row r="36" spans="1:22" ht="26.25" thickBot="1">
      <c r="A36" s="333"/>
      <c r="B36" s="150">
        <v>2</v>
      </c>
      <c r="C36" s="151"/>
      <c r="D36" s="125" t="str">
        <f>Team5</f>
        <v>AquaBots</v>
      </c>
      <c r="E36" s="59">
        <f>IF(NOT(OR(AND($H36&lt;&gt;"Y",$I36&gt;0),AND($J36="Y",$K36="Y"),AND($L36="Y",$L35="Y"),AND($N36="Y",$O36="Y"),OR($R36+$S36&gt;8,$R36+$S36&lt;0))),(IF(F36="y",$F$4,0))+(IF(P36="y",$P$4,0))+(IF(G36="y",$G$4,0))+(IF(H36="y",$H$4,0))+IF(AND(J36="Y",K36="Y"),0,((IF(J36="y",$J$4,0))+(IF(K36="y",$K$4,0))))+(IF(L36="y",$L$4,0))+(IF(M36="y",$M$4,0))+IF(AND(N36="Y",O36="Y"),0,(IF(N36="y",$N$4,0))+(IF(O36="y",$O$4,0)))+(IF(Q36="y",$Q$4,0))+IF((R36+S36&lt;=8),(IF((0&lt;R36)*(R36&lt;=8),R36*2,0))+(IF((0&lt;S36)*(S36&lt;=8),S36*5,0)),0)+IF((I36&lt;=3)*(I36&gt;=0),I36*15,0),"Error")</f>
        <v>0</v>
      </c>
      <c r="F36" s="53"/>
      <c r="G36" s="53"/>
      <c r="H36" s="53"/>
      <c r="I36" s="53"/>
      <c r="J36" s="53"/>
      <c r="K36" s="53"/>
      <c r="L36" s="53"/>
      <c r="M36" s="53"/>
      <c r="N36" s="53"/>
      <c r="O36" s="53"/>
      <c r="P36" s="53"/>
      <c r="Q36" s="53"/>
      <c r="R36" s="53"/>
      <c r="S36" s="53"/>
      <c r="T36" s="374"/>
      <c r="U36" s="268">
        <v>0.004861111111111111</v>
      </c>
      <c r="V36" t="s">
        <v>252</v>
      </c>
    </row>
    <row r="37" spans="1:20" ht="23.25" thickBot="1">
      <c r="A37" s="333"/>
      <c r="B37" s="61" t="s">
        <v>37</v>
      </c>
      <c r="C37" s="61" t="s">
        <v>38</v>
      </c>
      <c r="D37" s="61" t="s">
        <v>39</v>
      </c>
      <c r="E37" s="42">
        <f>IF(OR(J37&lt;&gt;"",N37&lt;&gt;"",R37&lt;&gt;"",L37&lt;&gt;"",H37&lt;&gt;""),"Error","")</f>
      </c>
      <c r="F37" s="62"/>
      <c r="G37" s="63"/>
      <c r="H37" s="310"/>
      <c r="I37" s="310"/>
      <c r="J37" s="310"/>
      <c r="K37" s="310"/>
      <c r="L37" s="310"/>
      <c r="M37" s="310"/>
      <c r="N37" s="310"/>
      <c r="O37" s="310"/>
      <c r="P37" s="64"/>
      <c r="Q37" s="65"/>
      <c r="R37" s="310"/>
      <c r="S37" s="331"/>
      <c r="T37" s="375"/>
    </row>
    <row r="38" spans="1:20" ht="26.25" thickBot="1">
      <c r="A38" s="333"/>
      <c r="B38" s="150">
        <v>1</v>
      </c>
      <c r="C38" s="151">
        <f>C35+C_CycleTime</f>
        <v>0.12152777777777775</v>
      </c>
      <c r="D38" s="125" t="str">
        <f>Team4</f>
        <v>Lords of the Legos</v>
      </c>
      <c r="E38" s="68">
        <f>IF(NOT(OR(AND($H38&lt;&gt;"Y",$I38&gt;0),AND($J38="Y",$K38="Y"),AND($L38="Y",$L39="Y"),AND($N38="Y",$O38="Y"),OR($R38+$S38&gt;8,$R38+$S38&lt;0))),(IF(F38="y",$F$4,0))+(IF(P38="y",$P$4,0))+(IF(G38="y",$G$4,0))+(IF(H38="y",$H$4,0))+IF(AND(J38="Y",K38="Y"),0,((IF(J38="y",$J$4,0))+(IF(K38="y",$K$4,0))))+(IF(L38="y",$L$4,0))+(IF(M38="y",$M$4,0))+IF(AND(N38="Y",O38="Y"),0,(IF(N38="y",$N$4,0))+(IF(O38="y",$O$4,0)))+(IF(Q38="y",$Q$4,0))+IF((R38+S38&lt;=8),(IF((0&lt;R38)*(R38&lt;=8),R38*2,0))+(IF((0&lt;S38)*(S38&lt;=8),S38*5,0)),0)+IF((I38&lt;=3)*(I38&gt;=0),I38*15,0),"Error")</f>
        <v>0</v>
      </c>
      <c r="F38" s="53"/>
      <c r="G38" s="53"/>
      <c r="H38" s="53"/>
      <c r="I38" s="53"/>
      <c r="J38" s="53"/>
      <c r="K38" s="53"/>
      <c r="L38" s="53"/>
      <c r="M38" s="53"/>
      <c r="N38" s="53"/>
      <c r="O38" s="53"/>
      <c r="P38" s="53"/>
      <c r="Q38" s="53"/>
      <c r="R38" s="53"/>
      <c r="S38" s="53"/>
      <c r="T38" s="374"/>
    </row>
    <row r="39" spans="1:20" ht="26.25" thickBot="1">
      <c r="A39" s="333"/>
      <c r="B39" s="150">
        <v>2</v>
      </c>
      <c r="C39" s="151"/>
      <c r="D39" s="125" t="str">
        <f>Team11</f>
        <v>LEGO Legends</v>
      </c>
      <c r="E39" s="68">
        <f>IF(NOT(OR(AND($H39&lt;&gt;"Y",$I39&gt;0),AND($J39="Y",$K39="Y"),AND($L39="Y",$L38="Y"),AND($N39="Y",$O39="Y"),OR($R39+$S39&gt;8,$R39+$S39&lt;0))),(IF(F39="y",$F$4,0))+(IF(P39="y",$P$4,0))+(IF(G39="y",$G$4,0))+(IF(H39="y",$H$4,0))+IF(AND(J39="Y",K39="Y"),0,((IF(J39="y",$J$4,0))+(IF(K39="y",$K$4,0))))+(IF(L39="y",$L$4,0))+(IF(M39="y",$M$4,0))+IF(AND(N39="Y",O39="Y"),0,(IF(N39="y",$N$4,0))+(IF(O39="y",$O$4,0)))+(IF(Q39="y",$Q$4,0))+IF((R39+S39&lt;=8),(IF((0&lt;R39)*(R39&lt;=8),R39*2,0))+(IF((0&lt;S39)*(S39&lt;=8),S39*5,0)),0)+IF((I39&lt;=3)*(I39&gt;=0),I39*15,0),"Error")</f>
        <v>0</v>
      </c>
      <c r="F39" s="53"/>
      <c r="G39" s="53"/>
      <c r="H39" s="53"/>
      <c r="I39" s="53"/>
      <c r="J39" s="53"/>
      <c r="K39" s="53"/>
      <c r="L39" s="53"/>
      <c r="M39" s="53"/>
      <c r="N39" s="53"/>
      <c r="O39" s="53"/>
      <c r="P39" s="53"/>
      <c r="Q39" s="53"/>
      <c r="R39" s="53"/>
      <c r="S39" s="53"/>
      <c r="T39" s="374"/>
    </row>
    <row r="40" spans="1:20" ht="23.25" thickBot="1">
      <c r="A40" s="333"/>
      <c r="B40" s="61" t="s">
        <v>37</v>
      </c>
      <c r="C40" s="61" t="s">
        <v>38</v>
      </c>
      <c r="D40" s="61" t="s">
        <v>39</v>
      </c>
      <c r="E40" s="42">
        <f>IF(OR(J40&lt;&gt;"",N40&lt;&gt;"",R40&lt;&gt;"",L40&lt;&gt;"",H40&lt;&gt;""),"Error","")</f>
      </c>
      <c r="F40" s="62"/>
      <c r="G40" s="63"/>
      <c r="H40" s="310"/>
      <c r="I40" s="310"/>
      <c r="J40" s="310"/>
      <c r="K40" s="310"/>
      <c r="L40" s="310"/>
      <c r="M40" s="310"/>
      <c r="N40" s="310"/>
      <c r="O40" s="310"/>
      <c r="P40" s="64"/>
      <c r="Q40" s="65"/>
      <c r="R40" s="310"/>
      <c r="S40" s="331"/>
      <c r="T40" s="375"/>
    </row>
    <row r="41" spans="1:20" ht="26.25" thickBot="1">
      <c r="A41" s="333"/>
      <c r="B41" s="150">
        <v>1</v>
      </c>
      <c r="C41" s="151">
        <f>C38+C_CycleTime</f>
        <v>0.12638888888888886</v>
      </c>
      <c r="D41" s="125" t="str">
        <f>Team10</f>
        <v>Defy Gravity</v>
      </c>
      <c r="E41" s="68">
        <f>IF(NOT(OR(AND($H41&lt;&gt;"Y",$I41&gt;0),AND($J41="Y",$K41="Y"),AND($L41="Y",$L42="Y"),AND($N41="Y",$O41="Y"),OR($R41+$S41&gt;8,$R41+$S41&lt;0))),(IF(F41="y",$F$4,0))+(IF(P41="y",$P$4,0))+(IF(G41="y",$G$4,0))+(IF(H41="y",$H$4,0))+IF(AND(J41="Y",K41="Y"),0,((IF(J41="y",$J$4,0))+(IF(K41="y",$K$4,0))))+(IF(L41="y",$L$4,0))+(IF(M41="y",$M$4,0))+IF(AND(N41="Y",O41="Y"),0,(IF(N41="y",$N$4,0))+(IF(O41="y",$O$4,0)))+(IF(Q41="y",$Q$4,0))+IF((R41+S41&lt;=8),(IF((0&lt;R41)*(R41&lt;=8),R41*2,0))+(IF((0&lt;S41)*(S41&lt;=8),S41*5,0)),0)+IF((I41&lt;=3)*(I41&gt;=0),I41*15,0),"Error")</f>
        <v>0</v>
      </c>
      <c r="F41" s="53"/>
      <c r="G41" s="53"/>
      <c r="H41" s="53"/>
      <c r="I41" s="53"/>
      <c r="J41" s="53"/>
      <c r="K41" s="53"/>
      <c r="L41" s="53"/>
      <c r="M41" s="53"/>
      <c r="N41" s="53"/>
      <c r="O41" s="53"/>
      <c r="P41" s="53"/>
      <c r="Q41" s="53"/>
      <c r="R41" s="53"/>
      <c r="S41" s="53"/>
      <c r="T41" s="374"/>
    </row>
    <row r="42" spans="1:20" ht="26.25" thickBot="1">
      <c r="A42" s="333"/>
      <c r="B42" s="150">
        <v>2</v>
      </c>
      <c r="C42" s="151"/>
      <c r="D42" s="125" t="str">
        <f>Team2</f>
        <v>Gadget Group</v>
      </c>
      <c r="E42" s="68">
        <f>IF(NOT(OR(AND($H42&lt;&gt;"Y",$I42&gt;0),AND($J42="Y",$K42="Y"),AND($L42="Y",$L41="Y"),AND($N42="Y",$O42="Y"),OR($R42+$S42&gt;8,$R42+$S42&lt;0))),(IF(F42="y",$F$4,0))+(IF(P42="y",$P$4,0))+(IF(G42="y",$G$4,0))+(IF(H42="y",$H$4,0))+IF(AND(J42="Y",K42="Y"),0,((IF(J42="y",$J$4,0))+(IF(K42="y",$K$4,0))))+(IF(L42="y",$L$4,0))+(IF(M42="y",$M$4,0))+IF(AND(N42="Y",O42="Y"),0,(IF(N42="y",$N$4,0))+(IF(O42="y",$O$4,0)))+(IF(Q42="y",$Q$4,0))+IF((R42+S42&lt;=8),(IF((0&lt;R42)*(R42&lt;=8),R42*2,0))+(IF((0&lt;S42)*(S42&lt;=8),S42*5,0)),0)+IF((I42&lt;=3)*(I42&gt;=0),I42*15,0),"Error")</f>
        <v>0</v>
      </c>
      <c r="F42" s="53"/>
      <c r="G42" s="53"/>
      <c r="H42" s="53"/>
      <c r="I42" s="53"/>
      <c r="J42" s="53"/>
      <c r="K42" s="53"/>
      <c r="L42" s="53"/>
      <c r="M42" s="53"/>
      <c r="N42" s="53"/>
      <c r="O42" s="53"/>
      <c r="P42" s="53"/>
      <c r="Q42" s="53"/>
      <c r="R42" s="53"/>
      <c r="S42" s="53"/>
      <c r="T42" s="374"/>
    </row>
    <row r="43" spans="1:20" ht="23.25" thickBot="1">
      <c r="A43" s="333"/>
      <c r="B43" s="61" t="s">
        <v>37</v>
      </c>
      <c r="C43" s="61" t="s">
        <v>38</v>
      </c>
      <c r="D43" s="61" t="s">
        <v>39</v>
      </c>
      <c r="E43" s="42">
        <f>IF(OR(J43&lt;&gt;"",N43&lt;&gt;"",R43&lt;&gt;"",L43&lt;&gt;"",H43&lt;&gt;""),"Error","")</f>
      </c>
      <c r="F43" s="62"/>
      <c r="G43" s="63"/>
      <c r="H43" s="310"/>
      <c r="I43" s="310"/>
      <c r="J43" s="310"/>
      <c r="K43" s="310"/>
      <c r="L43" s="310"/>
      <c r="M43" s="310"/>
      <c r="N43" s="310"/>
      <c r="O43" s="310"/>
      <c r="P43" s="64"/>
      <c r="Q43" s="65"/>
      <c r="R43" s="310"/>
      <c r="S43" s="331"/>
      <c r="T43" s="375"/>
    </row>
    <row r="44" spans="1:20" ht="26.25" thickBot="1">
      <c r="A44" s="333"/>
      <c r="B44" s="150">
        <v>1</v>
      </c>
      <c r="C44" s="151">
        <f>C41+C_CycleTime</f>
        <v>0.13124999999999998</v>
      </c>
      <c r="D44" s="125" t="str">
        <f>Team12</f>
        <v>DogBots</v>
      </c>
      <c r="E44" s="68">
        <f>IF(NOT(OR(AND($H44&lt;&gt;"Y",$I44&gt;0),AND($J44="Y",$K44="Y"),AND($L44="Y",$L45="Y"),AND($N44="Y",$O44="Y"),OR($R44+$S44&gt;8,$R44+$S44&lt;0))),(IF(F44="y",$F$4,0))+(IF(P44="y",$P$4,0))+(IF(G44="y",$G$4,0))+(IF(H44="y",$H$4,0))+IF(AND(J44="Y",K44="Y"),0,((IF(J44="y",$J$4,0))+(IF(K44="y",$K$4,0))))+(IF(L44="y",$L$4,0))+(IF(M44="y",$M$4,0))+IF(AND(N44="Y",O44="Y"),0,(IF(N44="y",$N$4,0))+(IF(O44="y",$O$4,0)))+(IF(Q44="y",$Q$4,0))+IF((R44+S44&lt;=8),(IF((0&lt;R44)*(R44&lt;=8),R44*2,0))+(IF((0&lt;S44)*(S44&lt;=8),S44*5,0)),0)+IF((I44&lt;=3)*(I44&gt;=0),I44*15,0),"Error")</f>
        <v>0</v>
      </c>
      <c r="F44" s="53"/>
      <c r="G44" s="53"/>
      <c r="H44" s="53"/>
      <c r="I44" s="53"/>
      <c r="J44" s="53"/>
      <c r="K44" s="53"/>
      <c r="L44" s="53"/>
      <c r="M44" s="53"/>
      <c r="N44" s="53"/>
      <c r="O44" s="53"/>
      <c r="P44" s="53"/>
      <c r="Q44" s="53"/>
      <c r="R44" s="53"/>
      <c r="S44" s="53"/>
      <c r="T44" s="374"/>
    </row>
    <row r="45" spans="1:20" ht="26.25" thickBot="1">
      <c r="A45" s="334"/>
      <c r="B45" s="150">
        <v>2</v>
      </c>
      <c r="C45" s="151"/>
      <c r="D45" s="125" t="str">
        <f>Team3</f>
        <v>Sea Cucumbers</v>
      </c>
      <c r="E45" s="68">
        <f>IF(NOT(OR(AND($H45&lt;&gt;"Y",$I45&gt;0),AND($J45="Y",$K45="Y"),AND($L45="Y",$L44="Y"),AND($N45="Y",$O45="Y"),OR($R45+$S45&gt;8,$R45+$S45&lt;0))),(IF(F45="y",$F$4,0))+(IF(P45="y",$P$4,0))+(IF(G45="y",$G$4,0))+(IF(H45="y",$H$4,0))+IF(AND(J45="Y",K45="Y"),0,((IF(J45="y",$J$4,0))+(IF(K45="y",$K$4,0))))+(IF(L45="y",$L$4,0))+(IF(M45="y",$M$4,0))+IF(AND(N45="Y",O45="Y"),0,(IF(N45="y",$N$4,0))+(IF(O45="y",$O$4,0)))+(IF(Q45="y",$Q$4,0))+IF((R45+S45&lt;=8),(IF((0&lt;R45)*(R45&lt;=8),R45*2,0))+(IF((0&lt;S45)*(S45&lt;=8),S45*5,0)),0)+IF((I45&lt;=3)*(I45&gt;=0),I45*15,0),"Error")</f>
        <v>0</v>
      </c>
      <c r="F45" s="53"/>
      <c r="G45" s="53"/>
      <c r="H45" s="53"/>
      <c r="I45" s="53"/>
      <c r="J45" s="53"/>
      <c r="K45" s="53"/>
      <c r="L45" s="53"/>
      <c r="M45" s="53"/>
      <c r="N45" s="53"/>
      <c r="O45" s="53"/>
      <c r="P45" s="53"/>
      <c r="Q45" s="53"/>
      <c r="R45" s="53"/>
      <c r="S45" s="53"/>
      <c r="T45" s="374"/>
    </row>
    <row r="46" ht="13.5" thickBot="1">
      <c r="T46" s="376"/>
    </row>
    <row r="47" spans="1:22" ht="23.25" customHeight="1" thickBot="1">
      <c r="A47" s="332" t="s">
        <v>77</v>
      </c>
      <c r="B47" s="41" t="s">
        <v>37</v>
      </c>
      <c r="C47" s="41" t="s">
        <v>38</v>
      </c>
      <c r="D47" s="41" t="s">
        <v>39</v>
      </c>
      <c r="E47" s="269">
        <f>IF(OR(J47&lt;&gt;"",N47&lt;&gt;"",R47&lt;&gt;"",L47&lt;&gt;"",H47&lt;&gt;""),"Error","")</f>
      </c>
      <c r="F47" s="43"/>
      <c r="G47" s="44"/>
      <c r="H47" s="313"/>
      <c r="I47" s="313"/>
      <c r="J47" s="313"/>
      <c r="K47" s="313"/>
      <c r="L47" s="313"/>
      <c r="M47" s="313"/>
      <c r="N47" s="313"/>
      <c r="O47" s="313"/>
      <c r="P47" s="45"/>
      <c r="Q47" s="46"/>
      <c r="R47" s="313"/>
      <c r="S47" s="330"/>
      <c r="T47" s="373"/>
      <c r="U47" s="268">
        <v>0</v>
      </c>
      <c r="V47" t="s">
        <v>251</v>
      </c>
    </row>
    <row r="48" spans="1:22" ht="26.25" thickBot="1">
      <c r="A48" s="333"/>
      <c r="B48" s="150">
        <v>1</v>
      </c>
      <c r="C48" s="151">
        <f>D_StartTime</f>
        <v>0.1361111111111111</v>
      </c>
      <c r="D48" s="125" t="str">
        <f>Team6</f>
        <v>Supersonic Turtles</v>
      </c>
      <c r="E48" s="51">
        <f>IF(NOT(OR(AND($H48&lt;&gt;"Y",$I48&gt;0),AND($J48="Y",$K48="Y"),AND($L48="Y",$L49="Y"),AND($N48="Y",$O48="Y"),OR($R48+$S48&gt;8,$R48+$S48&lt;0))),(IF(F48="y",$F$4,0))+(IF(P48="y",$P$4,0))+(IF(G48="y",$G$4,0))+(IF(H48="y",$H$4,0))+IF(AND(J48="Y",K48="Y"),0,((IF(J48="y",$J$4,0))+(IF(K48="y",$K$4,0))))+(IF(L48="y",$L$4,0))+(IF(M48="y",$M$4,0))+IF(AND(N48="Y",O48="Y"),0,(IF(N48="y",$N$4,0))+(IF(O48="y",$O$4,0)))+(IF(Q48="y",$Q$4,0))+IF((R48+S48&lt;=8),(IF((0&lt;R48)*(R48&lt;=8),R48*2,0))+(IF((0&lt;S48)*(S48&lt;=8),S48*5,0)),0)+IF((I48&lt;=3)*(I48&gt;=0),I48*15,0),"Error")</f>
        <v>0</v>
      </c>
      <c r="F48" s="52"/>
      <c r="G48" s="52"/>
      <c r="H48" s="52"/>
      <c r="I48" s="52"/>
      <c r="J48" s="52"/>
      <c r="K48" s="52"/>
      <c r="L48" s="52"/>
      <c r="M48" s="52"/>
      <c r="N48" s="52"/>
      <c r="O48" s="52"/>
      <c r="P48" s="52"/>
      <c r="Q48" s="52"/>
      <c r="R48" s="53"/>
      <c r="S48" s="52"/>
      <c r="T48" s="374"/>
      <c r="U48" s="268">
        <f>C44+C_CycleTime+D_BreakTime</f>
        <v>0.1361111111111111</v>
      </c>
      <c r="V48" t="s">
        <v>250</v>
      </c>
    </row>
    <row r="49" spans="1:22" ht="26.25" thickBot="1">
      <c r="A49" s="333"/>
      <c r="B49" s="150">
        <v>2</v>
      </c>
      <c r="C49" s="151"/>
      <c r="D49" s="125" t="str">
        <f>Team4</f>
        <v>Lords of the Legos</v>
      </c>
      <c r="E49" s="59">
        <f>IF(NOT(OR(AND($H49&lt;&gt;"Y",$I49&gt;0),AND($J49="Y",$K49="Y"),AND($L49="Y",$L48="Y"),AND($N49="Y",$O49="Y"),OR($R49+$S49&gt;8,$R49+$S49&lt;0))),(IF(F49="y",$F$4,0))+(IF(P49="y",$P$4,0))+(IF(G49="y",$G$4,0))+(IF(H49="y",$H$4,0))+IF(AND(J49="Y",K49="Y"),0,((IF(J49="y",$J$4,0))+(IF(K49="y",$K$4,0))))+(IF(L49="y",$L$4,0))+(IF(M49="y",$M$4,0))+IF(AND(N49="Y",O49="Y"),0,(IF(N49="y",$N$4,0))+(IF(O49="y",$O$4,0)))+(IF(Q49="y",$Q$4,0))+IF((R49+S49&lt;=8),(IF((0&lt;R49)*(R49&lt;=8),R49*2,0))+(IF((0&lt;S49)*(S49&lt;=8),S49*5,0)),0)+IF((I49&lt;=3)*(I49&gt;=0),I49*15,0),"Error")</f>
        <v>0</v>
      </c>
      <c r="F49" s="53"/>
      <c r="G49" s="53"/>
      <c r="H49" s="53"/>
      <c r="I49" s="53"/>
      <c r="J49" s="53"/>
      <c r="K49" s="53"/>
      <c r="L49" s="53"/>
      <c r="M49" s="53"/>
      <c r="N49" s="53"/>
      <c r="O49" s="53"/>
      <c r="P49" s="53"/>
      <c r="Q49" s="53"/>
      <c r="R49" s="53"/>
      <c r="S49" s="53"/>
      <c r="T49" s="374"/>
      <c r="U49" s="268">
        <v>0.004166666666666667</v>
      </c>
      <c r="V49" t="s">
        <v>252</v>
      </c>
    </row>
    <row r="50" spans="1:20" ht="23.25" thickBot="1">
      <c r="A50" s="333"/>
      <c r="B50" s="61" t="s">
        <v>37</v>
      </c>
      <c r="C50" s="61" t="s">
        <v>38</v>
      </c>
      <c r="D50" s="61" t="s">
        <v>39</v>
      </c>
      <c r="E50" s="42">
        <f>IF(OR(J50&lt;&gt;"",N50&lt;&gt;"",R50&lt;&gt;"",L50&lt;&gt;"",H50&lt;&gt;""),"Error","")</f>
      </c>
      <c r="F50" s="62"/>
      <c r="G50" s="63"/>
      <c r="H50" s="310"/>
      <c r="I50" s="310"/>
      <c r="J50" s="310"/>
      <c r="K50" s="310"/>
      <c r="L50" s="310"/>
      <c r="M50" s="310"/>
      <c r="N50" s="310"/>
      <c r="O50" s="310"/>
      <c r="P50" s="64"/>
      <c r="Q50" s="65"/>
      <c r="R50" s="310"/>
      <c r="S50" s="331"/>
      <c r="T50" s="375"/>
    </row>
    <row r="51" spans="1:20" ht="26.25" thickBot="1">
      <c r="A51" s="333"/>
      <c r="B51" s="150">
        <v>1</v>
      </c>
      <c r="C51" s="151">
        <f>C48+D_CycleTime</f>
        <v>0.14027777777777778</v>
      </c>
      <c r="D51" s="125" t="str">
        <f>Team7</f>
        <v>Rocking Robotics</v>
      </c>
      <c r="E51" s="68">
        <f>IF(NOT(OR(AND($H51&lt;&gt;"Y",$I51&gt;0),AND($J51="Y",$K51="Y"),AND($L51="Y",$L52="Y"),AND($N51="Y",$O51="Y"),OR($R51+$S51&gt;8,$R51+$S51&lt;0))),(IF(F51="y",$F$4,0))+(IF(P51="y",$P$4,0))+(IF(G51="y",$G$4,0))+(IF(H51="y",$H$4,0))+IF(AND(J51="Y",K51="Y"),0,((IF(J51="y",$J$4,0))+(IF(K51="y",$K$4,0))))+(IF(L51="y",$L$4,0))+(IF(M51="y",$M$4,0))+IF(AND(N51="Y",O51="Y"),0,(IF(N51="y",$N$4,0))+(IF(O51="y",$O$4,0)))+(IF(Q51="y",$Q$4,0))+IF((R51+S51&lt;=8),(IF((0&lt;R51)*(R51&lt;=8),R51*2,0))+(IF((0&lt;S51)*(S51&lt;=8),S51*5,0)),0)+IF((I51&lt;=3)*(I51&gt;=0),I51*15,0),"Error")</f>
        <v>0</v>
      </c>
      <c r="F51" s="53"/>
      <c r="G51" s="53"/>
      <c r="H51" s="53"/>
      <c r="I51" s="53"/>
      <c r="J51" s="53"/>
      <c r="K51" s="53"/>
      <c r="L51" s="53"/>
      <c r="M51" s="53"/>
      <c r="N51" s="53"/>
      <c r="O51" s="53"/>
      <c r="P51" s="53"/>
      <c r="Q51" s="53"/>
      <c r="R51" s="53"/>
      <c r="S51" s="53"/>
      <c r="T51" s="374"/>
    </row>
    <row r="52" spans="1:20" ht="26.25" thickBot="1">
      <c r="A52" s="333"/>
      <c r="B52" s="150">
        <v>2</v>
      </c>
      <c r="C52" s="151"/>
      <c r="D52" s="125" t="str">
        <f>Team1</f>
        <v>Tumbling Titanics</v>
      </c>
      <c r="E52" s="68">
        <f>IF(NOT(OR(AND($H52&lt;&gt;"Y",$I52&gt;0),AND($J52="Y",$K52="Y"),AND($L52="Y",$L51="Y"),AND($N52="Y",$O52="Y"),OR($R52+$S52&gt;8,$R52+$S52&lt;0))),(IF(F52="y",$F$4,0))+(IF(P52="y",$P$4,0))+(IF(G52="y",$G$4,0))+(IF(H52="y",$H$4,0))+IF(AND(J52="Y",K52="Y"),0,((IF(J52="y",$J$4,0))+(IF(K52="y",$K$4,0))))+(IF(L52="y",$L$4,0))+(IF(M52="y",$M$4,0))+IF(AND(N52="Y",O52="Y"),0,(IF(N52="y",$N$4,0))+(IF(O52="y",$O$4,0)))+(IF(Q52="y",$Q$4,0))+IF((R52+S52&lt;=8),(IF((0&lt;R52)*(R52&lt;=8),R52*2,0))+(IF((0&lt;S52)*(S52&lt;=8),S52*5,0)),0)+IF((I52&lt;=3)*(I52&gt;=0),I52*15,0),"Error")</f>
        <v>0</v>
      </c>
      <c r="F52" s="53"/>
      <c r="G52" s="53"/>
      <c r="H52" s="53"/>
      <c r="I52" s="53"/>
      <c r="J52" s="53"/>
      <c r="K52" s="53"/>
      <c r="L52" s="53"/>
      <c r="M52" s="53"/>
      <c r="N52" s="53"/>
      <c r="O52" s="53"/>
      <c r="P52" s="53"/>
      <c r="Q52" s="53"/>
      <c r="R52" s="53"/>
      <c r="S52" s="53"/>
      <c r="T52" s="374"/>
    </row>
    <row r="53" spans="1:20" ht="23.25" thickBot="1">
      <c r="A53" s="333"/>
      <c r="B53" s="61" t="s">
        <v>37</v>
      </c>
      <c r="C53" s="61" t="s">
        <v>38</v>
      </c>
      <c r="D53" s="61" t="s">
        <v>39</v>
      </c>
      <c r="E53" s="42">
        <f>IF(OR(J53&lt;&gt;"",N53&lt;&gt;"",R53&lt;&gt;"",L53&lt;&gt;"",H53&lt;&gt;""),"Error","")</f>
      </c>
      <c r="F53" s="62"/>
      <c r="G53" s="63"/>
      <c r="H53" s="310"/>
      <c r="I53" s="310"/>
      <c r="J53" s="310"/>
      <c r="K53" s="310"/>
      <c r="L53" s="310"/>
      <c r="M53" s="310"/>
      <c r="N53" s="310"/>
      <c r="O53" s="310"/>
      <c r="P53" s="64"/>
      <c r="Q53" s="65"/>
      <c r="R53" s="310"/>
      <c r="S53" s="331"/>
      <c r="T53" s="375"/>
    </row>
    <row r="54" spans="1:20" ht="26.25" thickBot="1">
      <c r="A54" s="333"/>
      <c r="B54" s="150">
        <v>1</v>
      </c>
      <c r="C54" s="151">
        <f>C51+D_CycleTime</f>
        <v>0.14444444444444446</v>
      </c>
      <c r="D54" s="125" t="str">
        <f>Team9</f>
        <v>SEABEES</v>
      </c>
      <c r="E54" s="68">
        <f>IF(NOT(OR(AND($H54&lt;&gt;"Y",$I54&gt;0),AND($J54="Y",$K54="Y"),AND($L54="Y",$L55="Y"),AND($N54="Y",$O54="Y"),OR($R54+$S54&gt;8,$R54+$S54&lt;0))),(IF(F54="y",$F$4,0))+(IF(P54="y",$P$4,0))+(IF(G54="y",$G$4,0))+(IF(H54="y",$H$4,0))+IF(AND(J54="Y",K54="Y"),0,((IF(J54="y",$J$4,0))+(IF(K54="y",$K$4,0))))+(IF(L54="y",$L$4,0))+(IF(M54="y",$M$4,0))+IF(AND(N54="Y",O54="Y"),0,(IF(N54="y",$N$4,0))+(IF(O54="y",$O$4,0)))+(IF(Q54="y",$Q$4,0))+IF((R54+S54&lt;=8),(IF((0&lt;R54)*(R54&lt;=8),R54*2,0))+(IF((0&lt;S54)*(S54&lt;=8),S54*5,0)),0)+IF((I54&lt;=3)*(I54&gt;=0),I54*15,0),"Error")</f>
        <v>0</v>
      </c>
      <c r="F54" s="53"/>
      <c r="G54" s="53"/>
      <c r="H54" s="53"/>
      <c r="I54" s="53"/>
      <c r="J54" s="53"/>
      <c r="K54" s="53"/>
      <c r="L54" s="53"/>
      <c r="M54" s="53"/>
      <c r="N54" s="53"/>
      <c r="O54" s="53"/>
      <c r="P54" s="53"/>
      <c r="Q54" s="53"/>
      <c r="R54" s="53"/>
      <c r="S54" s="53"/>
      <c r="T54" s="374"/>
    </row>
    <row r="55" spans="1:20" ht="26.25" thickBot="1">
      <c r="A55" s="333"/>
      <c r="B55" s="150">
        <v>2</v>
      </c>
      <c r="C55" s="151"/>
      <c r="D55" s="125" t="str">
        <f>Team3</f>
        <v>Sea Cucumbers</v>
      </c>
      <c r="E55" s="68">
        <f>IF(NOT(OR(AND($H55&lt;&gt;"Y",$I55&gt;0),AND($J55="Y",$K55="Y"),AND($L55="Y",$L54="Y"),AND($N55="Y",$O55="Y"),OR($R55+$S55&gt;8,$R55+$S55&lt;0))),(IF(F55="y",$F$4,0))+(IF(P55="y",$P$4,0))+(IF(G55="y",$G$4,0))+(IF(H55="y",$H$4,0))+IF(AND(J55="Y",K55="Y"),0,((IF(J55="y",$J$4,0))+(IF(K55="y",$K$4,0))))+(IF(L55="y",$L$4,0))+(IF(M55="y",$M$4,0))+IF(AND(N55="Y",O55="Y"),0,(IF(N55="y",$N$4,0))+(IF(O55="y",$O$4,0)))+(IF(Q55="y",$Q$4,0))+IF((R55+S55&lt;=8),(IF((0&lt;R55)*(R55&lt;=8),R55*2,0))+(IF((0&lt;S55)*(S55&lt;=8),S55*5,0)),0)+IF((I55&lt;=3)*(I55&gt;=0),I55*15,0),"Error")</f>
        <v>0</v>
      </c>
      <c r="F55" s="53"/>
      <c r="G55" s="53"/>
      <c r="H55" s="53"/>
      <c r="I55" s="53"/>
      <c r="J55" s="53"/>
      <c r="K55" s="53"/>
      <c r="L55" s="53"/>
      <c r="M55" s="53"/>
      <c r="N55" s="53"/>
      <c r="O55" s="53"/>
      <c r="P55" s="53"/>
      <c r="Q55" s="53"/>
      <c r="R55" s="53"/>
      <c r="S55" s="53"/>
      <c r="T55" s="374"/>
    </row>
    <row r="56" spans="1:20" ht="23.25" thickBot="1">
      <c r="A56" s="333"/>
      <c r="B56" s="61" t="s">
        <v>37</v>
      </c>
      <c r="C56" s="61" t="s">
        <v>38</v>
      </c>
      <c r="D56" s="61" t="s">
        <v>39</v>
      </c>
      <c r="E56" s="42">
        <f>IF(OR(J56&lt;&gt;"",N56&lt;&gt;"",R56&lt;&gt;"",L56&lt;&gt;"",H56&lt;&gt;""),"Error","")</f>
      </c>
      <c r="F56" s="62"/>
      <c r="G56" s="63"/>
      <c r="H56" s="310"/>
      <c r="I56" s="310"/>
      <c r="J56" s="310"/>
      <c r="K56" s="310"/>
      <c r="L56" s="310"/>
      <c r="M56" s="310"/>
      <c r="N56" s="310"/>
      <c r="O56" s="310"/>
      <c r="P56" s="64"/>
      <c r="Q56" s="65"/>
      <c r="R56" s="310"/>
      <c r="S56" s="331"/>
      <c r="T56" s="375"/>
    </row>
    <row r="57" spans="1:20" ht="26.25" thickBot="1">
      <c r="A57" s="333"/>
      <c r="B57" s="150">
        <v>1</v>
      </c>
      <c r="C57" s="151">
        <f>C54+D_CycleTime</f>
        <v>0.14861111111111114</v>
      </c>
      <c r="D57" s="125" t="str">
        <f>Team8</f>
        <v>Lego Stars</v>
      </c>
      <c r="E57" s="68">
        <f>IF(NOT(OR(AND($H57&lt;&gt;"Y",$I57&gt;0),AND($J57="Y",$K57="Y"),AND($L57="Y",$L58="Y"),AND($N57="Y",$O57="Y"),OR($R57+$S57&gt;8,$R57+$S57&lt;0))),(IF(F57="y",$F$4,0))+(IF(P57="y",$P$4,0))+(IF(G57="y",$G$4,0))+(IF(H57="y",$H$4,0))+IF(AND(J57="Y",K57="Y"),0,((IF(J57="y",$J$4,0))+(IF(K57="y",$K$4,0))))+(IF(L57="y",$L$4,0))+(IF(M57="y",$M$4,0))+IF(AND(N57="Y",O57="Y"),0,(IF(N57="y",$N$4,0))+(IF(O57="y",$O$4,0)))+(IF(Q57="y",$Q$4,0))+IF((R57+S57&lt;=8),(IF((0&lt;R57)*(R57&lt;=8),R57*2,0))+(IF((0&lt;S57)*(S57&lt;=8),S57*5,0)),0)+IF((I57&lt;=3)*(I57&gt;=0),I57*15,0),"Error")</f>
        <v>0</v>
      </c>
      <c r="F57" s="53"/>
      <c r="G57" s="53"/>
      <c r="H57" s="53"/>
      <c r="I57" s="53"/>
      <c r="J57" s="53"/>
      <c r="K57" s="53"/>
      <c r="L57" s="53"/>
      <c r="M57" s="53"/>
      <c r="N57" s="53"/>
      <c r="O57" s="53"/>
      <c r="P57" s="53"/>
      <c r="Q57" s="53"/>
      <c r="R57" s="53"/>
      <c r="S57" s="53"/>
      <c r="T57" s="374"/>
    </row>
    <row r="58" spans="1:20" ht="26.25" thickBot="1">
      <c r="A58" s="333"/>
      <c r="B58" s="150">
        <v>2</v>
      </c>
      <c r="C58" s="151"/>
      <c r="D58" s="125" t="str">
        <f>Team5</f>
        <v>AquaBots</v>
      </c>
      <c r="E58" s="68">
        <f>IF(NOT(OR(AND($H58&lt;&gt;"Y",$I58&gt;0),AND($J58="Y",$K58="Y"),AND($L58="Y",$L57="Y"),AND($N58="Y",$O58="Y"),OR($R58+$S58&gt;8,$R58+$S58&lt;0))),(IF(F58="y",$F$4,0))+(IF(P58="y",$P$4,0))+(IF(G58="y",$G$4,0))+(IF(H58="y",$H$4,0))+IF(AND(J58="Y",K58="Y"),0,((IF(J58="y",$J$4,0))+(IF(K58="y",$K$4,0))))+(IF(L58="y",$L$4,0))+(IF(M58="y",$M$4,0))+IF(AND(N58="Y",O58="Y"),0,(IF(N58="y",$N$4,0))+(IF(O58="y",$O$4,0)))+(IF(Q58="y",$Q$4,0))+IF((R58+S58&lt;=8),(IF((0&lt;R58)*(R58&lt;=8),R58*2,0))+(IF((0&lt;S58)*(S58&lt;=8),S58*5,0)),0)+IF((I58&lt;=3)*(I58&gt;=0),I58*15,0),"Error")</f>
        <v>0</v>
      </c>
      <c r="F58" s="53"/>
      <c r="G58" s="53"/>
      <c r="H58" s="53"/>
      <c r="I58" s="53"/>
      <c r="J58" s="53"/>
      <c r="K58" s="53"/>
      <c r="L58" s="53"/>
      <c r="M58" s="53"/>
      <c r="N58" s="53"/>
      <c r="O58" s="53"/>
      <c r="P58" s="53"/>
      <c r="Q58" s="53"/>
      <c r="R58" s="53"/>
      <c r="S58" s="53"/>
      <c r="T58" s="374"/>
    </row>
    <row r="59" spans="1:20" ht="23.25" thickBot="1">
      <c r="A59" s="333"/>
      <c r="B59" s="61" t="s">
        <v>37</v>
      </c>
      <c r="C59" s="61" t="s">
        <v>38</v>
      </c>
      <c r="D59" s="61" t="s">
        <v>39</v>
      </c>
      <c r="E59" s="42">
        <f>IF(OR(J59&lt;&gt;"",N59&lt;&gt;"",R59&lt;&gt;"",L59&lt;&gt;"",H59&lt;&gt;""),"Error","")</f>
      </c>
      <c r="F59" s="62"/>
      <c r="G59" s="63"/>
      <c r="H59" s="310"/>
      <c r="I59" s="310"/>
      <c r="J59" s="310"/>
      <c r="K59" s="310"/>
      <c r="L59" s="310"/>
      <c r="M59" s="310"/>
      <c r="N59" s="310"/>
      <c r="O59" s="310"/>
      <c r="P59" s="64"/>
      <c r="Q59" s="65"/>
      <c r="R59" s="310"/>
      <c r="S59" s="331"/>
      <c r="T59" s="375"/>
    </row>
    <row r="60" spans="1:20" ht="26.25" thickBot="1">
      <c r="A60" s="333"/>
      <c r="B60" s="150">
        <v>1</v>
      </c>
      <c r="C60" s="151">
        <f>C57+D_CycleTime</f>
        <v>0.15277777777777782</v>
      </c>
      <c r="D60" s="125" t="str">
        <f>Team2</f>
        <v>Gadget Group</v>
      </c>
      <c r="E60" s="68">
        <f>IF(NOT(OR(AND($H60&lt;&gt;"Y",$I60&gt;0),AND($J60="Y",$K60="Y"),AND($L60="Y",$L61="Y"),AND($N60="Y",$O60="Y"),OR($R60+$S60&gt;8,$R60+$S60&lt;0))),(IF(F60="y",$F$4,0))+(IF(P60="y",$P$4,0))+(IF(G60="y",$G$4,0))+(IF(H60="y",$H$4,0))+IF(AND(J60="Y",K60="Y"),0,((IF(J60="y",$J$4,0))+(IF(K60="y",$K$4,0))))+(IF(L60="y",$L$4,0))+(IF(M60="y",$M$4,0))+IF(AND(N60="Y",O60="Y"),0,(IF(N60="y",$N$4,0))+(IF(O60="y",$O$4,0)))+(IF(Q60="y",$Q$4,0))+IF((R60+S60&lt;=8),(IF((0&lt;R60)*(R60&lt;=8),R60*2,0))+(IF((0&lt;S60)*(S60&lt;=8),S60*5,0)),0)+IF((I60&lt;=3)*(I60&gt;=0),I60*15,0),"Error")</f>
        <v>0</v>
      </c>
      <c r="F60" s="53"/>
      <c r="G60" s="53"/>
      <c r="H60" s="53"/>
      <c r="I60" s="53"/>
      <c r="J60" s="53"/>
      <c r="K60" s="53"/>
      <c r="L60" s="53"/>
      <c r="M60" s="53"/>
      <c r="N60" s="53"/>
      <c r="O60" s="53"/>
      <c r="P60" s="53"/>
      <c r="Q60" s="53"/>
      <c r="R60" s="53"/>
      <c r="S60" s="53"/>
      <c r="T60" s="374"/>
    </row>
    <row r="61" spans="1:20" ht="26.25" thickBot="1">
      <c r="A61" s="334"/>
      <c r="B61" s="150">
        <v>2</v>
      </c>
      <c r="C61" s="151"/>
      <c r="D61" s="125" t="str">
        <f>Team6</f>
        <v>Supersonic Turtles</v>
      </c>
      <c r="E61" s="68">
        <f>IF(NOT(OR(AND($H61&lt;&gt;"Y",$I61&gt;0),AND($J61="Y",$K61="Y"),AND($L61="Y",$L60="Y"),AND($N61="Y",$O61="Y"),OR($R61+$S61&gt;8,$R61+$S61&lt;0))),(IF(F61="y",$F$4,0))+(IF(P61="y",$P$4,0))+(IF(G61="y",$G$4,0))+(IF(H61="y",$H$4,0))+IF(AND(J61="Y",K61="Y"),0,((IF(J61="y",$J$4,0))+(IF(K61="y",$K$4,0))))+(IF(L61="y",$L$4,0))+(IF(M61="y",$M$4,0))+IF(AND(N61="Y",O61="Y"),0,(IF(N61="y",$N$4,0))+(IF(O61="y",$O$4,0)))+(IF(Q61="y",$Q$4,0))+IF((R61+S61&lt;=8),(IF((0&lt;R61)*(R61&lt;=8),R61*2,0))+(IF((0&lt;S61)*(S61&lt;=8),S61*5,0)),0)+IF((I61&lt;=3)*(I61&gt;=0),I61*15,0),"Error")</f>
        <v>0</v>
      </c>
      <c r="F61" s="53"/>
      <c r="G61" s="53"/>
      <c r="H61" s="53"/>
      <c r="I61" s="53"/>
      <c r="J61" s="53"/>
      <c r="K61" s="53"/>
      <c r="L61" s="53"/>
      <c r="M61" s="53"/>
      <c r="N61" s="53"/>
      <c r="O61" s="53"/>
      <c r="P61" s="53"/>
      <c r="Q61" s="53"/>
      <c r="R61" s="53"/>
      <c r="S61" s="53"/>
      <c r="T61" s="374"/>
    </row>
    <row r="62" ht="13.5" thickBot="1">
      <c r="T62" s="376"/>
    </row>
    <row r="63" spans="1:22" ht="23.25" customHeight="1" thickBot="1">
      <c r="A63" s="332" t="s">
        <v>253</v>
      </c>
      <c r="B63" s="41" t="s">
        <v>37</v>
      </c>
      <c r="C63" s="41" t="s">
        <v>38</v>
      </c>
      <c r="D63" s="41" t="s">
        <v>39</v>
      </c>
      <c r="E63" s="269">
        <f>IF(OR(J63&lt;&gt;"",N63&lt;&gt;"",R63&lt;&gt;"",L63&lt;&gt;"",H63&lt;&gt;""),"Error","")</f>
      </c>
      <c r="F63" s="43"/>
      <c r="G63" s="44"/>
      <c r="H63" s="313"/>
      <c r="I63" s="313"/>
      <c r="J63" s="313"/>
      <c r="K63" s="313"/>
      <c r="L63" s="313"/>
      <c r="M63" s="313"/>
      <c r="N63" s="313"/>
      <c r="O63" s="313"/>
      <c r="P63" s="45"/>
      <c r="Q63" s="46"/>
      <c r="R63" s="313"/>
      <c r="S63" s="330"/>
      <c r="T63" s="373"/>
      <c r="U63" s="268">
        <v>0.013888888888888888</v>
      </c>
      <c r="V63" t="s">
        <v>251</v>
      </c>
    </row>
    <row r="64" spans="1:22" ht="26.25" thickBot="1">
      <c r="A64" s="333"/>
      <c r="B64" s="150">
        <v>1</v>
      </c>
      <c r="C64" s="151">
        <f>E_StartTime</f>
        <v>0.1708333333333334</v>
      </c>
      <c r="D64" s="125" t="str">
        <f>Team1</f>
        <v>Tumbling Titanics</v>
      </c>
      <c r="E64" s="51">
        <f>IF(NOT(OR(AND($H64&lt;&gt;"Y",$I64&gt;0),AND($J64="Y",$K64="Y"),AND($L64="Y",$L65="Y"),AND($N64="Y",$O64="Y"),OR($R64+$S64&gt;8,$R64+$S64&lt;0))),(IF(F64="y",$F$4,0))+(IF(P64="y",$P$4,0))+(IF(G64="y",$G$4,0))+(IF(H64="y",$H$4,0))+IF(AND(J64="Y",K64="Y"),0,((IF(J64="y",$J$4,0))+(IF(K64="y",$K$4,0))))+(IF(L64="y",$L$4,0))+(IF(M64="y",$M$4,0))+IF(AND(N64="Y",O64="Y"),0,(IF(N64="y",$N$4,0))+(IF(O64="y",$O$4,0)))+(IF(Q64="y",$Q$4,0))+IF((R64+S64&lt;=8),(IF((0&lt;R64)*(R64&lt;=8),R64*2,0))+(IF((0&lt;S64)*(S64&lt;=8),S64*5,0)),0)+IF((I64&lt;=3)*(I64&gt;=0),I64*15,0),"Error")</f>
        <v>0</v>
      </c>
      <c r="F64" s="52"/>
      <c r="G64" s="52"/>
      <c r="H64" s="52"/>
      <c r="I64" s="52"/>
      <c r="J64" s="52"/>
      <c r="K64" s="52"/>
      <c r="L64" s="52"/>
      <c r="M64" s="52"/>
      <c r="N64" s="52"/>
      <c r="O64" s="52"/>
      <c r="P64" s="52"/>
      <c r="Q64" s="52"/>
      <c r="R64" s="53"/>
      <c r="S64" s="52"/>
      <c r="T64" s="374"/>
      <c r="U64" s="268">
        <f>C60+D_CycleTime+E_BreakTime</f>
        <v>0.1708333333333334</v>
      </c>
      <c r="V64" t="s">
        <v>250</v>
      </c>
    </row>
    <row r="65" spans="1:22" ht="26.25" thickBot="1">
      <c r="A65" s="333"/>
      <c r="B65" s="150">
        <v>2</v>
      </c>
      <c r="C65" s="151"/>
      <c r="D65" s="125" t="str">
        <f>Team2</f>
        <v>Gadget Group</v>
      </c>
      <c r="E65" s="59">
        <f>IF(NOT(OR(AND($H65&lt;&gt;"Y",$I65&gt;0),AND($J65="Y",$K65="Y"),AND($L65="Y",$L64="Y"),AND($N65="Y",$O65="Y"),OR($R65+$S65&gt;8,$R65+$S65&lt;0))),(IF(F65="y",$F$4,0))+(IF(P65="y",$P$4,0))+(IF(G65="y",$G$4,0))+(IF(H65="y",$H$4,0))+IF(AND(J65="Y",K65="Y"),0,((IF(J65="y",$J$4,0))+(IF(K65="y",$K$4,0))))+(IF(L65="y",$L$4,0))+(IF(M65="y",$M$4,0))+IF(AND(N65="Y",O65="Y"),0,(IF(N65="y",$N$4,0))+(IF(O65="y",$O$4,0)))+(IF(Q65="y",$Q$4,0))+IF((R65+S65&lt;=8),(IF((0&lt;R65)*(R65&lt;=8),R65*2,0))+(IF((0&lt;S65)*(S65&lt;=8),S65*5,0)),0)+IF((I65&lt;=3)*(I65&gt;=0),I65*15,0),"Error")</f>
        <v>0</v>
      </c>
      <c r="F65" s="53"/>
      <c r="G65" s="53"/>
      <c r="H65" s="53"/>
      <c r="I65" s="53"/>
      <c r="J65" s="53"/>
      <c r="K65" s="53"/>
      <c r="L65" s="53"/>
      <c r="M65" s="53"/>
      <c r="N65" s="53"/>
      <c r="O65" s="53"/>
      <c r="P65" s="53"/>
      <c r="Q65" s="53"/>
      <c r="R65" s="53"/>
      <c r="S65" s="53"/>
      <c r="T65" s="374"/>
      <c r="U65" s="268">
        <v>0.003472222222222222</v>
      </c>
      <c r="V65" t="s">
        <v>252</v>
      </c>
    </row>
    <row r="66" spans="1:20" ht="23.25" thickBot="1">
      <c r="A66" s="333"/>
      <c r="B66" s="61" t="s">
        <v>37</v>
      </c>
      <c r="C66" s="61" t="s">
        <v>38</v>
      </c>
      <c r="D66" s="61" t="s">
        <v>39</v>
      </c>
      <c r="E66" s="42">
        <f>IF(OR(J66&lt;&gt;"",N66&lt;&gt;"",R66&lt;&gt;"",L66&lt;&gt;"",H66&lt;&gt;""),"Error","")</f>
      </c>
      <c r="F66" s="62"/>
      <c r="G66" s="63"/>
      <c r="H66" s="310"/>
      <c r="I66" s="310"/>
      <c r="J66" s="310"/>
      <c r="K66" s="310"/>
      <c r="L66" s="310"/>
      <c r="M66" s="310"/>
      <c r="N66" s="310"/>
      <c r="O66" s="310"/>
      <c r="P66" s="64"/>
      <c r="Q66" s="65"/>
      <c r="R66" s="310"/>
      <c r="S66" s="331"/>
      <c r="T66" s="375"/>
    </row>
    <row r="67" spans="1:20" ht="26.25" thickBot="1">
      <c r="A67" s="333"/>
      <c r="B67" s="150">
        <v>1</v>
      </c>
      <c r="C67" s="151">
        <f>C64+E_CycleTime</f>
        <v>0.1743055555555556</v>
      </c>
      <c r="D67" s="125" t="str">
        <f>Team3</f>
        <v>Sea Cucumbers</v>
      </c>
      <c r="E67" s="68">
        <f>IF(NOT(OR(AND($H67&lt;&gt;"Y",$I67&gt;0),AND($J67="Y",$K67="Y"),AND($L67="Y",$L68="Y"),AND($N67="Y",$O67="Y"),OR($R67+$S67&gt;8,$R67+$S67&lt;0))),(IF(F67="y",$F$4,0))+(IF(P67="y",$P$4,0))+(IF(G67="y",$G$4,0))+(IF(H67="y",$H$4,0))+IF(AND(J67="Y",K67="Y"),0,((IF(J67="y",$J$4,0))+(IF(K67="y",$K$4,0))))+(IF(L67="y",$L$4,0))+(IF(M67="y",$M$4,0))+IF(AND(N67="Y",O67="Y"),0,(IF(N67="y",$N$4,0))+(IF(O67="y",$O$4,0)))+(IF(Q67="y",$Q$4,0))+IF((R67+S67&lt;=8),(IF((0&lt;R67)*(R67&lt;=8),R67*2,0))+(IF((0&lt;S67)*(S67&lt;=8),S67*5,0)),0)+IF((I67&lt;=3)*(I67&gt;=0),I67*15,0),"Error")</f>
        <v>0</v>
      </c>
      <c r="F67" s="53"/>
      <c r="G67" s="53"/>
      <c r="H67" s="53"/>
      <c r="I67" s="53"/>
      <c r="J67" s="53"/>
      <c r="K67" s="53"/>
      <c r="L67" s="53"/>
      <c r="M67" s="53"/>
      <c r="N67" s="53"/>
      <c r="O67" s="53"/>
      <c r="P67" s="53"/>
      <c r="Q67" s="53"/>
      <c r="R67" s="53"/>
      <c r="S67" s="53"/>
      <c r="T67" s="374"/>
    </row>
    <row r="68" spans="1:20" ht="26.25" thickBot="1">
      <c r="A68" s="333"/>
      <c r="B68" s="150">
        <v>2</v>
      </c>
      <c r="C68" s="151"/>
      <c r="D68" s="125" t="str">
        <f>Team4</f>
        <v>Lords of the Legos</v>
      </c>
      <c r="E68" s="68">
        <f>IF(NOT(OR(AND($H68&lt;&gt;"Y",$I68&gt;0),AND($J68="Y",$K68="Y"),AND($L68="Y",$L67="Y"),AND($N68="Y",$O68="Y"),OR($R68+$S68&gt;8,$R68+$S68&lt;0))),(IF(F68="y",$F$4,0))+(IF(P68="y",$P$4,0))+(IF(G68="y",$G$4,0))+(IF(H68="y",$H$4,0))+IF(AND(J68="Y",K68="Y"),0,((IF(J68="y",$J$4,0))+(IF(K68="y",$K$4,0))))+(IF(L68="y",$L$4,0))+(IF(M68="y",$M$4,0))+IF(AND(N68="Y",O68="Y"),0,(IF(N68="y",$N$4,0))+(IF(O68="y",$O$4,0)))+(IF(Q68="y",$Q$4,0))+IF((R68+S68&lt;=8),(IF((0&lt;R68)*(R68&lt;=8),R68*2,0))+(IF((0&lt;S68)*(S68&lt;=8),S68*5,0)),0)+IF((I68&lt;=3)*(I68&gt;=0),I68*15,0),"Error")</f>
        <v>0</v>
      </c>
      <c r="F68" s="53"/>
      <c r="G68" s="53"/>
      <c r="H68" s="53"/>
      <c r="I68" s="53"/>
      <c r="J68" s="53"/>
      <c r="K68" s="53"/>
      <c r="L68" s="53"/>
      <c r="M68" s="53"/>
      <c r="N68" s="53"/>
      <c r="O68" s="53"/>
      <c r="P68" s="53"/>
      <c r="Q68" s="53"/>
      <c r="R68" s="53"/>
      <c r="S68" s="53"/>
      <c r="T68" s="374"/>
    </row>
    <row r="69" spans="1:20" ht="23.25" thickBot="1">
      <c r="A69" s="333"/>
      <c r="B69" s="61" t="s">
        <v>37</v>
      </c>
      <c r="C69" s="61" t="s">
        <v>38</v>
      </c>
      <c r="D69" s="61" t="s">
        <v>39</v>
      </c>
      <c r="E69" s="42">
        <f>IF(OR(J69&lt;&gt;"",N69&lt;&gt;"",R69&lt;&gt;"",L69&lt;&gt;"",H69&lt;&gt;""),"Error","")</f>
      </c>
      <c r="F69" s="62"/>
      <c r="G69" s="63"/>
      <c r="H69" s="310"/>
      <c r="I69" s="310"/>
      <c r="J69" s="310"/>
      <c r="K69" s="310"/>
      <c r="L69" s="310"/>
      <c r="M69" s="310"/>
      <c r="N69" s="310"/>
      <c r="O69" s="310"/>
      <c r="P69" s="64"/>
      <c r="Q69" s="65"/>
      <c r="R69" s="310"/>
      <c r="S69" s="331"/>
      <c r="T69" s="375"/>
    </row>
    <row r="70" spans="1:20" ht="26.25" thickBot="1">
      <c r="A70" s="333"/>
      <c r="B70" s="150">
        <v>1</v>
      </c>
      <c r="C70" s="151">
        <f>C67+E_CycleTime</f>
        <v>0.1777777777777778</v>
      </c>
      <c r="D70" s="125" t="str">
        <f>Team5</f>
        <v>AquaBots</v>
      </c>
      <c r="E70" s="68">
        <f>IF(NOT(OR(AND($H70&lt;&gt;"Y",$I70&gt;0),AND($J70="Y",$K70="Y"),AND($L70="Y",$L71="Y"),AND($N70="Y",$O70="Y"),OR($R70+$S70&gt;8,$R70+$S70&lt;0))),(IF(F70="y",$F$4,0))+(IF(P70="y",$P$4,0))+(IF(G70="y",$G$4,0))+(IF(H70="y",$H$4,0))+IF(AND(J70="Y",K70="Y"),0,((IF(J70="y",$J$4,0))+(IF(K70="y",$K$4,0))))+(IF(L70="y",$L$4,0))+(IF(M70="y",$M$4,0))+IF(AND(N70="Y",O70="Y"),0,(IF(N70="y",$N$4,0))+(IF(O70="y",$O$4,0)))+(IF(Q70="y",$Q$4,0))+IF((R70+S70&lt;=8),(IF((0&lt;R70)*(R70&lt;=8),R70*2,0))+(IF((0&lt;S70)*(S70&lt;=8),S70*5,0)),0)+IF((I70&lt;=3)*(I70&gt;=0),I70*15,0),"Error")</f>
        <v>0</v>
      </c>
      <c r="F70" s="53"/>
      <c r="G70" s="53"/>
      <c r="H70" s="53"/>
      <c r="I70" s="53"/>
      <c r="J70" s="53"/>
      <c r="K70" s="53"/>
      <c r="L70" s="53"/>
      <c r="M70" s="53"/>
      <c r="N70" s="53"/>
      <c r="O70" s="53"/>
      <c r="P70" s="53"/>
      <c r="Q70" s="53"/>
      <c r="R70" s="53"/>
      <c r="S70" s="53"/>
      <c r="T70" s="374"/>
    </row>
    <row r="71" spans="1:20" ht="26.25" thickBot="1">
      <c r="A71" s="333"/>
      <c r="B71" s="150">
        <v>2</v>
      </c>
      <c r="C71" s="151"/>
      <c r="D71" s="125" t="str">
        <f>Team6</f>
        <v>Supersonic Turtles</v>
      </c>
      <c r="E71" s="68">
        <f>IF(NOT(OR(AND($H71&lt;&gt;"Y",$I71&gt;0),AND($J71="Y",$K71="Y"),AND($L71="Y",$L70="Y"),AND($N71="Y",$O71="Y"),OR($R71+$S71&gt;8,$R71+$S71&lt;0))),(IF(F71="y",$F$4,0))+(IF(P71="y",$P$4,0))+(IF(G71="y",$G$4,0))+(IF(H71="y",$H$4,0))+IF(AND(J71="Y",K71="Y"),0,((IF(J71="y",$J$4,0))+(IF(K71="y",$K$4,0))))+(IF(L71="y",$L$4,0))+(IF(M71="y",$M$4,0))+IF(AND(N71="Y",O71="Y"),0,(IF(N71="y",$N$4,0))+(IF(O71="y",$O$4,0)))+(IF(Q71="y",$Q$4,0))+IF((R71+S71&lt;=8),(IF((0&lt;R71)*(R71&lt;=8),R71*2,0))+(IF((0&lt;S71)*(S71&lt;=8),S71*5,0)),0)+IF((I71&lt;=3)*(I71&gt;=0),I71*15,0),"Error")</f>
        <v>0</v>
      </c>
      <c r="F71" s="53"/>
      <c r="G71" s="53"/>
      <c r="H71" s="53"/>
      <c r="I71" s="53"/>
      <c r="J71" s="53"/>
      <c r="K71" s="53"/>
      <c r="L71" s="53"/>
      <c r="M71" s="53"/>
      <c r="N71" s="53"/>
      <c r="O71" s="53"/>
      <c r="P71" s="53"/>
      <c r="Q71" s="53"/>
      <c r="R71" s="53"/>
      <c r="S71" s="53"/>
      <c r="T71" s="374"/>
    </row>
    <row r="72" spans="1:20" ht="23.25" thickBot="1">
      <c r="A72" s="333"/>
      <c r="B72" s="61" t="s">
        <v>37</v>
      </c>
      <c r="C72" s="61" t="s">
        <v>38</v>
      </c>
      <c r="D72" s="61" t="s">
        <v>39</v>
      </c>
      <c r="E72" s="42">
        <f>IF(OR(J72&lt;&gt;"",N72&lt;&gt;"",R72&lt;&gt;"",L72&lt;&gt;"",H72&lt;&gt;""),"Error","")</f>
      </c>
      <c r="F72" s="62"/>
      <c r="G72" s="63"/>
      <c r="H72" s="310"/>
      <c r="I72" s="310"/>
      <c r="J72" s="310"/>
      <c r="K72" s="310"/>
      <c r="L72" s="310"/>
      <c r="M72" s="310"/>
      <c r="N72" s="310"/>
      <c r="O72" s="310"/>
      <c r="P72" s="64"/>
      <c r="Q72" s="65"/>
      <c r="R72" s="310"/>
      <c r="S72" s="331"/>
      <c r="T72" s="375"/>
    </row>
    <row r="73" spans="1:20" ht="26.25" thickBot="1">
      <c r="A73" s="333"/>
      <c r="B73" s="150">
        <v>1</v>
      </c>
      <c r="C73" s="151">
        <f>C70+E_CycleTime</f>
        <v>0.18125000000000002</v>
      </c>
      <c r="D73" s="125" t="str">
        <f>Team7</f>
        <v>Rocking Robotics</v>
      </c>
      <c r="E73" s="68">
        <f>IF(NOT(OR(AND($H73&lt;&gt;"Y",$I73&gt;0),AND($J73="Y",$K73="Y"),AND($L73="Y",$L74="Y"),AND($N73="Y",$O73="Y"),OR($R73+$S73&gt;8,$R73+$S73&lt;0))),(IF(F73="y",$F$4,0))+(IF(P73="y",$P$4,0))+(IF(G73="y",$G$4,0))+(IF(H73="y",$H$4,0))+IF(AND(J73="Y",K73="Y"),0,((IF(J73="y",$J$4,0))+(IF(K73="y",$K$4,0))))+(IF(L73="y",$L$4,0))+(IF(M73="y",$M$4,0))+IF(AND(N73="Y",O73="Y"),0,(IF(N73="y",$N$4,0))+(IF(O73="y",$O$4,0)))+(IF(Q73="y",$Q$4,0))+IF((R73+S73&lt;=8),(IF((0&lt;R73)*(R73&lt;=8),R73*2,0))+(IF((0&lt;S73)*(S73&lt;=8),S73*5,0)),0)+IF((I73&lt;=3)*(I73&gt;=0),I73*15,0),"Error")</f>
        <v>0</v>
      </c>
      <c r="F73" s="53"/>
      <c r="G73" s="53"/>
      <c r="H73" s="53"/>
      <c r="I73" s="53"/>
      <c r="J73" s="53"/>
      <c r="K73" s="53"/>
      <c r="L73" s="53"/>
      <c r="M73" s="53"/>
      <c r="N73" s="53"/>
      <c r="O73" s="53"/>
      <c r="P73" s="53"/>
      <c r="Q73" s="53"/>
      <c r="R73" s="53"/>
      <c r="S73" s="53"/>
      <c r="T73" s="374"/>
    </row>
    <row r="74" spans="1:20" ht="26.25" thickBot="1">
      <c r="A74" s="333"/>
      <c r="B74" s="150">
        <v>2</v>
      </c>
      <c r="C74" s="151"/>
      <c r="D74" s="125" t="str">
        <f>Team8</f>
        <v>Lego Stars</v>
      </c>
      <c r="E74" s="68">
        <f>IF(NOT(OR(AND($H74&lt;&gt;"Y",$I74&gt;0),AND($J74="Y",$K74="Y"),AND($L74="Y",$L73="Y"),AND($N74="Y",$O74="Y"),OR($R74+$S74&gt;8,$R74+$S74&lt;0))),(IF(F74="y",$F$4,0))+(IF(P74="y",$P$4,0))+(IF(G74="y",$G$4,0))+(IF(H74="y",$H$4,0))+IF(AND(J74="Y",K74="Y"),0,((IF(J74="y",$J$4,0))+(IF(K74="y",$K$4,0))))+(IF(L74="y",$L$4,0))+(IF(M74="y",$M$4,0))+IF(AND(N74="Y",O74="Y"),0,(IF(N74="y",$N$4,0))+(IF(O74="y",$O$4,0)))+(IF(Q74="y",$Q$4,0))+IF((R74+S74&lt;=8),(IF((0&lt;R74)*(R74&lt;=8),R74*2,0))+(IF((0&lt;S74)*(S74&lt;=8),S74*5,0)),0)+IF((I74&lt;=3)*(I74&gt;=0),I74*15,0),"Error")</f>
        <v>0</v>
      </c>
      <c r="F74" s="53"/>
      <c r="G74" s="53"/>
      <c r="H74" s="53"/>
      <c r="I74" s="53"/>
      <c r="J74" s="53"/>
      <c r="K74" s="53"/>
      <c r="L74" s="53"/>
      <c r="M74" s="53"/>
      <c r="N74" s="53"/>
      <c r="O74" s="53"/>
      <c r="P74" s="53"/>
      <c r="Q74" s="53"/>
      <c r="R74" s="53"/>
      <c r="S74" s="53"/>
      <c r="T74" s="374"/>
    </row>
    <row r="75" spans="1:20" ht="23.25" thickBot="1">
      <c r="A75" s="333"/>
      <c r="B75" s="61" t="s">
        <v>37</v>
      </c>
      <c r="C75" s="61" t="s">
        <v>38</v>
      </c>
      <c r="D75" s="61" t="s">
        <v>39</v>
      </c>
      <c r="E75" s="42">
        <f>IF(OR(J75&lt;&gt;"",N75&lt;&gt;"",R75&lt;&gt;"",L75&lt;&gt;"",H75&lt;&gt;""),"Error","")</f>
      </c>
      <c r="F75" s="62"/>
      <c r="G75" s="63"/>
      <c r="H75" s="310"/>
      <c r="I75" s="310"/>
      <c r="J75" s="310"/>
      <c r="K75" s="310"/>
      <c r="L75" s="310"/>
      <c r="M75" s="310"/>
      <c r="N75" s="310"/>
      <c r="O75" s="310"/>
      <c r="P75" s="64"/>
      <c r="Q75" s="65"/>
      <c r="R75" s="310"/>
      <c r="S75" s="331"/>
      <c r="T75" s="375"/>
    </row>
    <row r="76" spans="1:20" ht="26.25" thickBot="1">
      <c r="A76" s="333"/>
      <c r="B76" s="150">
        <v>1</v>
      </c>
      <c r="C76" s="151">
        <f>C73+E_CycleTime</f>
        <v>0.18472222222222223</v>
      </c>
      <c r="D76" s="125" t="str">
        <f>Team9</f>
        <v>SEABEES</v>
      </c>
      <c r="E76" s="68">
        <f>IF(NOT(OR(AND($H76&lt;&gt;"Y",$I76&gt;0),AND($J76="Y",$K76="Y"),AND($L76="Y",$L77="Y"),AND($N76="Y",$O76="Y"),OR($R76+$S76&gt;8,$R76+$S76&lt;0))),(IF(F76="y",$F$4,0))+(IF(P76="y",$P$4,0))+(IF(G76="y",$G$4,0))+(IF(H76="y",$H$4,0))+IF(AND(J76="Y",K76="Y"),0,((IF(J76="y",$J$4,0))+(IF(K76="y",$K$4,0))))+(IF(L76="y",$L$4,0))+(IF(M76="y",$M$4,0))+IF(AND(N76="Y",O76="Y"),0,(IF(N76="y",$N$4,0))+(IF(O76="y",$O$4,0)))+(IF(Q76="y",$Q$4,0))+IF((R76+S76&lt;=8),(IF((0&lt;R76)*(R76&lt;=8),R76*2,0))+(IF((0&lt;S76)*(S76&lt;=8),S76*5,0)),0)+IF((I76&lt;=3)*(I76&gt;=0),I76*15,0),"Error")</f>
        <v>0</v>
      </c>
      <c r="F76" s="53"/>
      <c r="G76" s="53"/>
      <c r="H76" s="53"/>
      <c r="I76" s="53"/>
      <c r="J76" s="53"/>
      <c r="K76" s="53"/>
      <c r="L76" s="53"/>
      <c r="M76" s="53"/>
      <c r="N76" s="53"/>
      <c r="O76" s="53"/>
      <c r="P76" s="53"/>
      <c r="Q76" s="53"/>
      <c r="R76" s="53"/>
      <c r="S76" s="53"/>
      <c r="T76" s="374"/>
    </row>
    <row r="77" spans="1:20" ht="26.25" thickBot="1">
      <c r="A77" s="333"/>
      <c r="B77" s="150">
        <v>2</v>
      </c>
      <c r="C77" s="151"/>
      <c r="D77" s="125" t="str">
        <f>Team10</f>
        <v>Defy Gravity</v>
      </c>
      <c r="E77" s="68">
        <f>IF(NOT(OR(AND($H77&lt;&gt;"Y",$I77&gt;0),AND($J77="Y",$K77="Y"),AND($L77="Y",$L76="Y"),AND($N77="Y",$O77="Y"),OR($R77+$S77&gt;8,$R77+$S77&lt;0))),(IF(F77="y",$F$4,0))+(IF(P77="y",$P$4,0))+(IF(G77="y",$G$4,0))+(IF(H77="y",$H$4,0))+IF(AND(J77="Y",K77="Y"),0,((IF(J77="y",$J$4,0))+(IF(K77="y",$K$4,0))))+(IF(L77="y",$L$4,0))+(IF(M77="y",$M$4,0))+IF(AND(N77="Y",O77="Y"),0,(IF(N77="y",$N$4,0))+(IF(O77="y",$O$4,0)))+(IF(Q77="y",$Q$4,0))+IF((R77+S77&lt;=8),(IF((0&lt;R77)*(R77&lt;=8),R77*2,0))+(IF((0&lt;S77)*(S77&lt;=8),S77*5,0)),0)+IF((I77&lt;=3)*(I77&gt;=0),I77*15,0),"Error")</f>
        <v>0</v>
      </c>
      <c r="F77" s="53"/>
      <c r="G77" s="53"/>
      <c r="H77" s="53"/>
      <c r="I77" s="53"/>
      <c r="J77" s="53"/>
      <c r="K77" s="53"/>
      <c r="L77" s="53"/>
      <c r="M77" s="53"/>
      <c r="N77" s="53"/>
      <c r="O77" s="53"/>
      <c r="P77" s="53"/>
      <c r="Q77" s="53"/>
      <c r="R77" s="53"/>
      <c r="S77" s="53"/>
      <c r="T77" s="374"/>
    </row>
    <row r="78" spans="1:20" ht="23.25" thickBot="1">
      <c r="A78" s="333"/>
      <c r="B78" s="61" t="s">
        <v>37</v>
      </c>
      <c r="C78" s="61" t="s">
        <v>38</v>
      </c>
      <c r="D78" s="61" t="s">
        <v>39</v>
      </c>
      <c r="E78" s="42">
        <f>IF(OR(J78&lt;&gt;"",N78&lt;&gt;"",R78&lt;&gt;"",L78&lt;&gt;"",H78&lt;&gt;""),"Error","")</f>
      </c>
      <c r="F78" s="62"/>
      <c r="G78" s="63"/>
      <c r="H78" s="310"/>
      <c r="I78" s="310"/>
      <c r="J78" s="310"/>
      <c r="K78" s="310"/>
      <c r="L78" s="310"/>
      <c r="M78" s="310"/>
      <c r="N78" s="310"/>
      <c r="O78" s="310"/>
      <c r="P78" s="64"/>
      <c r="Q78" s="65"/>
      <c r="R78" s="310"/>
      <c r="S78" s="331"/>
      <c r="T78" s="375"/>
    </row>
    <row r="79" spans="1:20" ht="26.25" thickBot="1">
      <c r="A79" s="333"/>
      <c r="B79" s="150">
        <v>1</v>
      </c>
      <c r="C79" s="151">
        <f>C76+E_CycleTime</f>
        <v>0.18819444444444444</v>
      </c>
      <c r="D79" s="125" t="str">
        <f>Team11</f>
        <v>LEGO Legends</v>
      </c>
      <c r="E79" s="68">
        <f>IF(NOT(OR(AND($H79&lt;&gt;"Y",$I79&gt;0),AND($J79="Y",$K79="Y"),AND($L79="Y",$L80="Y"),AND($N79="Y",$O79="Y"),OR($R79+$S79&gt;8,$R79+$S79&lt;0))),(IF(F79="y",$F$4,0))+(IF(P79="y",$P$4,0))+(IF(G79="y",$G$4,0))+(IF(H79="y",$H$4,0))+IF(AND(J79="Y",K79="Y"),0,((IF(J79="y",$J$4,0))+(IF(K79="y",$K$4,0))))+(IF(L79="y",$L$4,0))+(IF(M79="y",$M$4,0))+IF(AND(N79="Y",O79="Y"),0,(IF(N79="y",$N$4,0))+(IF(O79="y",$O$4,0)))+(IF(Q79="y",$Q$4,0))+IF((R79+S79&lt;=8),(IF((0&lt;R79)*(R79&lt;=8),R79*2,0))+(IF((0&lt;S79)*(S79&lt;=8),S79*5,0)),0)+IF((I79&lt;=3)*(I79&gt;=0),I79*15,0),"Error")</f>
        <v>0</v>
      </c>
      <c r="F79" s="53"/>
      <c r="G79" s="53"/>
      <c r="H79" s="53"/>
      <c r="I79" s="53"/>
      <c r="J79" s="53"/>
      <c r="K79" s="53"/>
      <c r="L79" s="53"/>
      <c r="M79" s="53"/>
      <c r="N79" s="53"/>
      <c r="O79" s="53"/>
      <c r="P79" s="53"/>
      <c r="Q79" s="53"/>
      <c r="R79" s="53"/>
      <c r="S79" s="53"/>
      <c r="T79" s="374"/>
    </row>
    <row r="80" spans="1:20" ht="26.25" thickBot="1">
      <c r="A80" s="334"/>
      <c r="B80" s="150">
        <v>2</v>
      </c>
      <c r="C80" s="151"/>
      <c r="D80" s="125" t="str">
        <f>Team12</f>
        <v>DogBots</v>
      </c>
      <c r="E80" s="68">
        <f>IF(NOT(OR(AND($H80&lt;&gt;"Y",$I80&gt;0),AND($J80="Y",$K80="Y"),AND($L80="Y",$L79="Y"),AND($N80="Y",$O80="Y"),OR($R80+$S80&gt;8,$R80+$S80&lt;0))),(IF(F80="y",$F$4,0))+(IF(P80="y",$P$4,0))+(IF(G80="y",$G$4,0))+(IF(H80="y",$H$4,0))+IF(AND(J80="Y",K80="Y"),0,((IF(J80="y",$J$4,0))+(IF(K80="y",$K$4,0))))+(IF(L80="y",$L$4,0))+(IF(M80="y",$M$4,0))+IF(AND(N80="Y",O80="Y"),0,(IF(N80="y",$N$4,0))+(IF(O80="y",$O$4,0)))+(IF(Q80="y",$Q$4,0))+IF((R80+S80&lt;=8),(IF((0&lt;R80)*(R80&lt;=8),R80*2,0))+(IF((0&lt;S80)*(S80&lt;=8),S80*5,0)),0)+IF((I80&lt;=3)*(I80&gt;=0),I80*15,0),"Error")</f>
        <v>0</v>
      </c>
      <c r="F80" s="53"/>
      <c r="G80" s="53"/>
      <c r="H80" s="53"/>
      <c r="I80" s="53"/>
      <c r="J80" s="53"/>
      <c r="K80" s="53"/>
      <c r="L80" s="53"/>
      <c r="M80" s="53"/>
      <c r="N80" s="53"/>
      <c r="O80" s="53"/>
      <c r="P80" s="53"/>
      <c r="Q80" s="53"/>
      <c r="R80" s="53"/>
      <c r="S80" s="53"/>
      <c r="T80" s="374"/>
    </row>
  </sheetData>
  <sheetProtection/>
  <mergeCells count="131">
    <mergeCell ref="B2:D2"/>
    <mergeCell ref="R24:S24"/>
    <mergeCell ref="H53:I53"/>
    <mergeCell ref="J53:K53"/>
    <mergeCell ref="L53:M53"/>
    <mergeCell ref="N53:O53"/>
    <mergeCell ref="R53:S53"/>
    <mergeCell ref="H24:I24"/>
    <mergeCell ref="J24:K24"/>
    <mergeCell ref="L24:M24"/>
    <mergeCell ref="N24:O24"/>
    <mergeCell ref="A5:A16"/>
    <mergeCell ref="A18:A32"/>
    <mergeCell ref="H18:I18"/>
    <mergeCell ref="J18:K18"/>
    <mergeCell ref="H21:I21"/>
    <mergeCell ref="J21:K21"/>
    <mergeCell ref="H27:I27"/>
    <mergeCell ref="J27:K27"/>
    <mergeCell ref="H30:I30"/>
    <mergeCell ref="J30:K30"/>
    <mergeCell ref="H8:I8"/>
    <mergeCell ref="J8:K8"/>
    <mergeCell ref="N8:O8"/>
    <mergeCell ref="H14:I14"/>
    <mergeCell ref="J14:K14"/>
    <mergeCell ref="N14:O14"/>
    <mergeCell ref="L11:M11"/>
    <mergeCell ref="H3:I3"/>
    <mergeCell ref="J3:K3"/>
    <mergeCell ref="N3:O3"/>
    <mergeCell ref="H5:I5"/>
    <mergeCell ref="J5:K5"/>
    <mergeCell ref="N5:O5"/>
    <mergeCell ref="R3:S3"/>
    <mergeCell ref="L5:M5"/>
    <mergeCell ref="R5:S5"/>
    <mergeCell ref="L8:M8"/>
    <mergeCell ref="R8:S8"/>
    <mergeCell ref="L3:M3"/>
    <mergeCell ref="R11:S11"/>
    <mergeCell ref="H11:I11"/>
    <mergeCell ref="J11:K11"/>
    <mergeCell ref="N11:O11"/>
    <mergeCell ref="R14:S14"/>
    <mergeCell ref="L14:M14"/>
    <mergeCell ref="R18:S18"/>
    <mergeCell ref="L21:M21"/>
    <mergeCell ref="N21:O21"/>
    <mergeCell ref="R21:S21"/>
    <mergeCell ref="L18:M18"/>
    <mergeCell ref="N18:O18"/>
    <mergeCell ref="L27:M27"/>
    <mergeCell ref="N27:O27"/>
    <mergeCell ref="R27:S27"/>
    <mergeCell ref="L30:M30"/>
    <mergeCell ref="N30:O30"/>
    <mergeCell ref="R30:S30"/>
    <mergeCell ref="A63:A80"/>
    <mergeCell ref="L34:M34"/>
    <mergeCell ref="L40:M40"/>
    <mergeCell ref="R40:S40"/>
    <mergeCell ref="L43:M43"/>
    <mergeCell ref="R43:S43"/>
    <mergeCell ref="H43:I43"/>
    <mergeCell ref="R59:S59"/>
    <mergeCell ref="R34:S34"/>
    <mergeCell ref="L37:M37"/>
    <mergeCell ref="R37:S37"/>
    <mergeCell ref="N69:O69"/>
    <mergeCell ref="R69:S69"/>
    <mergeCell ref="J43:K43"/>
    <mergeCell ref="N43:O43"/>
    <mergeCell ref="N47:O47"/>
    <mergeCell ref="R47:S47"/>
    <mergeCell ref="N50:O50"/>
    <mergeCell ref="R50:S50"/>
    <mergeCell ref="R56:S56"/>
    <mergeCell ref="N72:O72"/>
    <mergeCell ref="R72:S72"/>
    <mergeCell ref="H66:I66"/>
    <mergeCell ref="J66:K66"/>
    <mergeCell ref="L66:M66"/>
    <mergeCell ref="N66:O66"/>
    <mergeCell ref="H72:I72"/>
    <mergeCell ref="J72:K72"/>
    <mergeCell ref="L72:M72"/>
    <mergeCell ref="R66:S66"/>
    <mergeCell ref="A34:A45"/>
    <mergeCell ref="H34:I34"/>
    <mergeCell ref="J34:K34"/>
    <mergeCell ref="N34:O34"/>
    <mergeCell ref="H37:I37"/>
    <mergeCell ref="J37:K37"/>
    <mergeCell ref="N37:O37"/>
    <mergeCell ref="H40:I40"/>
    <mergeCell ref="J40:K40"/>
    <mergeCell ref="N40:O40"/>
    <mergeCell ref="A47:A61"/>
    <mergeCell ref="H47:I47"/>
    <mergeCell ref="J47:K47"/>
    <mergeCell ref="L47:M47"/>
    <mergeCell ref="H50:I50"/>
    <mergeCell ref="J50:K50"/>
    <mergeCell ref="L50:M50"/>
    <mergeCell ref="H59:I59"/>
    <mergeCell ref="J59:K59"/>
    <mergeCell ref="L59:M59"/>
    <mergeCell ref="N63:O63"/>
    <mergeCell ref="H56:I56"/>
    <mergeCell ref="J56:K56"/>
    <mergeCell ref="L56:M56"/>
    <mergeCell ref="N56:O56"/>
    <mergeCell ref="N59:O59"/>
    <mergeCell ref="L75:M75"/>
    <mergeCell ref="H63:I63"/>
    <mergeCell ref="J63:K63"/>
    <mergeCell ref="L63:M63"/>
    <mergeCell ref="H69:I69"/>
    <mergeCell ref="J69:K69"/>
    <mergeCell ref="L69:M69"/>
    <mergeCell ref="N75:O75"/>
    <mergeCell ref="R63:S63"/>
    <mergeCell ref="R75:S75"/>
    <mergeCell ref="H78:I78"/>
    <mergeCell ref="J78:K78"/>
    <mergeCell ref="L78:M78"/>
    <mergeCell ref="N78:O78"/>
    <mergeCell ref="R78:S78"/>
    <mergeCell ref="H75:I75"/>
    <mergeCell ref="J75:K75"/>
  </mergeCells>
  <conditionalFormatting sqref="J6:K7 J9:K10 J12:K13 J15:K16 J19:K20 J70:K71 J28:K29 J31:K32 J35:K36 J38:K39 J41:K42 J44:K45 J48:K49 J25:K26 J57:K58 J60:K61 J79:K80 J73:K74 J76:K77 J64:K65 J67:K68 J22:K23 J51:K52 J54:K55">
    <cfRule type="expression" priority="1" dxfId="2" stopIfTrue="1">
      <formula>AND($J6="Y",$K6="Y")</formula>
    </cfRule>
    <cfRule type="cellIs" priority="2" dxfId="0" operator="equal" stopIfTrue="1">
      <formula>"Y"</formula>
    </cfRule>
    <cfRule type="cellIs" priority="3" dxfId="4" operator="equal" stopIfTrue="1">
      <formula>"N"</formula>
    </cfRule>
  </conditionalFormatting>
  <conditionalFormatting sqref="L6 L9 L12 L15 L19 L22 L28 L31 L35 L38 L41 L44 L48 L51 L57 L60 L64 L73 L76 L79 L67 L70 L25 L54">
    <cfRule type="expression" priority="4" dxfId="2" stopIfTrue="1">
      <formula>AND($L6="Y",$L7="Y")</formula>
    </cfRule>
    <cfRule type="cellIs" priority="5" dxfId="0" operator="equal" stopIfTrue="1">
      <formula>"Y"</formula>
    </cfRule>
    <cfRule type="cellIs" priority="6" dxfId="4" operator="equal" stopIfTrue="1">
      <formula>"N"</formula>
    </cfRule>
  </conditionalFormatting>
  <conditionalFormatting sqref="L7 L10 L13 L16 L20 L71 L29 L32 L36 L39 L42 L45 L49 L26 L58 L61 L80 L74 L77 L65 L68 L23 L52 L55">
    <cfRule type="expression" priority="7" dxfId="2" stopIfTrue="1">
      <formula>AND($L7="Y",$L6="Y")</formula>
    </cfRule>
    <cfRule type="cellIs" priority="8" dxfId="0" operator="equal" stopIfTrue="1">
      <formula>"Y"</formula>
    </cfRule>
    <cfRule type="cellIs" priority="9" dxfId="4" operator="equal" stopIfTrue="1">
      <formula>"N"</formula>
    </cfRule>
  </conditionalFormatting>
  <conditionalFormatting sqref="N6:O7 N9:O10 N12:O13 N15:O16 N19:O20 N70:O71 N28:O29 N31:O32 N35:O36 N38:O39 N41:O42 N44:O45 N48:O49 N25:O26 N57:O58 N60:O61 N79:O80 N73:O74 N76:O77 N64:O65 N67:O68 N22:O23 N51:O52 N54:O55">
    <cfRule type="expression" priority="10" dxfId="2" stopIfTrue="1">
      <formula>AND($N6="Y",$O6="Y")</formula>
    </cfRule>
    <cfRule type="cellIs" priority="11" dxfId="0" operator="equal" stopIfTrue="1">
      <formula>"Y"</formula>
    </cfRule>
    <cfRule type="cellIs" priority="12" dxfId="4" operator="equal" stopIfTrue="1">
      <formula>"N"</formula>
    </cfRule>
  </conditionalFormatting>
  <conditionalFormatting sqref="R6:T7 R9:T10 R12:T13 R15:T16 R19:T20 R70:T71 R28:T29 R31:T32 R35:T36 R38:T39 R41:T42 R44:T45 R48:T49 R25:T26 R57:T58 R60:T61 R79:T80 R73:T74 R76:T77 R64:T65 R67:T68 R22:T23 R51:T52 R54:T55">
    <cfRule type="expression" priority="13" dxfId="2" stopIfTrue="1">
      <formula>OR($R6+$S6&gt;8,$R6+$S6&lt;0)</formula>
    </cfRule>
    <cfRule type="cellIs" priority="14" dxfId="0" operator="between" stopIfTrue="1">
      <formula>1</formula>
      <formula>8</formula>
    </cfRule>
    <cfRule type="cellIs" priority="15" dxfId="4" operator="equal" stopIfTrue="1">
      <formula>0</formula>
    </cfRule>
  </conditionalFormatting>
  <conditionalFormatting sqref="H6:H7 H9:H10 H70:H71 H15:H16 H19:H20 H13 H28:H29 H31:H32 H35:H36 H38:H39 H41:H42 H44:H45 H48:H49 H25:H26 H57:H58 H60:H61 H79:H80 H73:H74 H76:H77 H64:H65 H67:H68 H22:H23 H51:H52 H54:H55">
    <cfRule type="expression" priority="16" dxfId="2" stopIfTrue="1">
      <formula>AND($H6&lt;&gt;"Y",$I6&gt;0)</formula>
    </cfRule>
    <cfRule type="expression" priority="17" dxfId="0" stopIfTrue="1">
      <formula>H6="y"</formula>
    </cfRule>
    <cfRule type="expression" priority="18" dxfId="4" stopIfTrue="1">
      <formula>H6="n"</formula>
    </cfRule>
  </conditionalFormatting>
  <conditionalFormatting sqref="I6:I7 I9:I10 I12:I13 I15:I16 I19:I20 I70:I71 I28:I29 I31:I32 I35:I36 I38:I39 I41:I42 I44:I45 I48:I49 I25:I26 I57:I58 I60:I61 I79:I80 I73:I74 I76:I77 I64:I65 I67:I68 I22:I23 I51:I52 I54:I55">
    <cfRule type="expression" priority="19" dxfId="2" stopIfTrue="1">
      <formula>AND($H6&lt;&gt;"Y",$I6&gt;0)</formula>
    </cfRule>
    <cfRule type="cellIs" priority="20" dxfId="0" operator="between" stopIfTrue="1">
      <formula>1</formula>
      <formula>3</formula>
    </cfRule>
    <cfRule type="cellIs" priority="21" dxfId="4" operator="equal" stopIfTrue="1">
      <formula>0</formula>
    </cfRule>
  </conditionalFormatting>
  <conditionalFormatting sqref="E35:E36 E38:E39 E41:E42 E44:E45 E6:E7 E9:E10 E12:E13 E15:E16 E19:E20 E70:E71 E28:E29 E31:E32 E48:E49 E25:E26 E57:E58 E60:E61 E79:E80 E73:E74 E76:E77 E64:E65 E67:E68 E22:E23 E51:E52 E54:E55">
    <cfRule type="cellIs" priority="22" dxfId="3" operator="equal" stopIfTrue="1">
      <formula>"Error"</formula>
    </cfRule>
    <cfRule type="cellIs" priority="23" dxfId="4" operator="equal" stopIfTrue="1">
      <formula>0</formula>
    </cfRule>
  </conditionalFormatting>
  <conditionalFormatting sqref="F35:G36 F38:G39 F41:G42 F44:G45 F6:G7 F9:G10 F12:G13 F15:G16 F19:G20 F70:G71 F28:G29 F31:G32 F48:G49 F25:G26 F57:G58 F60:G61 F79:G80 F73:G74 F76:G77 F64:G65 F67:G68 F22:G23 F51:G52 F54:G55">
    <cfRule type="expression" priority="24" dxfId="0" stopIfTrue="1">
      <formula>F6="y"</formula>
    </cfRule>
    <cfRule type="expression" priority="25" dxfId="4" stopIfTrue="1">
      <formula>F6="n"</formula>
    </cfRule>
  </conditionalFormatting>
  <conditionalFormatting sqref="P35:Q36 M35:M36 P38:Q39 M38:M39 P41:Q42 P44:Q45 M41:M42 M44:M45 P6:Q7 M6:M7 P9:Q10 M9:M10 P12:Q13 P15:Q16 M12:M13 M15:M16 P19:Q20 M19:M20 M22:M23 M70:M71 P28:Q29 P31:Q32 M28:M29 M31:M32 P48:Q49 M48:M49 M51:M52 M25:M26 P57:Q58 P60:Q61 M57:M58 M60:M61 M64:M65 M79:M80 P73:Q74 M73:M74 P76:Q77 P79:Q80 M76:M77 P64:Q65 P67:Q68 M67:M68 P70:Q71 P22:Q23 P25:Q26 P51:Q52 P54:Q55 M54:M55">
    <cfRule type="cellIs" priority="26" dxfId="0" operator="equal" stopIfTrue="1">
      <formula>"y"</formula>
    </cfRule>
    <cfRule type="cellIs" priority="27" dxfId="4" operator="equal" stopIfTrue="1">
      <formula>"N"</formula>
    </cfRule>
  </conditionalFormatting>
  <conditionalFormatting sqref="H12">
    <cfRule type="expression" priority="28" dxfId="2" stopIfTrue="1">
      <formula>AND($H12&lt;&gt;"Y",$I12&gt;0)</formula>
    </cfRule>
    <cfRule type="expression" priority="29" dxfId="0" stopIfTrue="1">
      <formula>H12="y"</formula>
    </cfRule>
    <cfRule type="expression" priority="30" dxfId="4" stopIfTrue="1">
      <formula>H12="n"</formula>
    </cfRule>
  </conditionalFormatting>
  <dataValidations count="3">
    <dataValidation type="list" allowBlank="1" showInputMessage="1" showErrorMessage="1" promptTitle="Input" prompt="Y or Leave Blank" error="Value must be Y or leave blank" sqref="J35:Q36 J67:Q68 F67:H68 J70:Q71 F70:H71 F64:H65 J38:Q39 F38:H39 J41:Q42 J44:Q45 F41:H42 F44:H45 F31:H32 F28:H29 J31:Q32 J28:Q29 J22:Q23 F79:H80 F19:H20 J19:Q20 F15:H16 F12:H13 J15:Q16 J12:Q13 F9:H10 J9:Q10 F6:H7 J6:Q7 J48:Q49 F48:H49 F51:H52 J25:Q26 J57:Q58 J60:Q61 F57:H58 F60:H61 F35:H36 J64:Q65 J73:Q74 F73:H74 J76:Q77 J79:Q80 F76:H77 F22:H23 F25:H26 J51:Q52 J54:Q55 F54:H55">
      <formula1>"Y,N"</formula1>
    </dataValidation>
    <dataValidation type="list" allowBlank="1" showInputMessage="1" showErrorMessage="1" promptTitle="Input" prompt="1 thru 3 or Leave Blank" error="Value must be 1 thru 3 or Leave Blank" sqref="I35:I36 I67:I68 I70:I71 I64:I65 I41:I42 I44:I45 I31:I32 I28:I29 I79:I80 I19:I20 I15:I16 I12:I13 I9:I10 I6:I7 I48:I49 I25:I26 I57:I58 I60:I61 I38:I39 I73:I74 I76:I77 I22:I23 I51:I52 I54:I55">
      <formula1>"0,1,2,3"</formula1>
    </dataValidation>
    <dataValidation type="list" allowBlank="1" showInputMessage="1" showErrorMessage="1" promptTitle="Input" prompt="1 thru 8 or Leave Blank" error="Value must be 1 thru 8 or Leave Blank" sqref="R38:T39 R67:T68 R70:T71 R64:T65 R41:T42 R44:T45 R31:T32 R28:T29 R19:T20 R79:T80 R15:T16 R12:T13 R6:T7 R9:T10 R25:T26 R48:T49 R57:T58 R60:T61 R73:T74 R35:T36 R76:T77 R22:T23 R51:T52 R54:T55">
      <formula1>"0,1,2,3,4,5,6,7,8"</formula1>
    </dataValidation>
  </dataValidations>
  <printOptions/>
  <pageMargins left="0.28" right="0.3" top="0.22" bottom="0.17" header="0.17" footer="0.17"/>
  <pageSetup fitToHeight="3" fitToWidth="2" horizontalDpi="300" verticalDpi="300" orientation="landscape" scale="95"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R40"/>
  <sheetViews>
    <sheetView workbookViewId="0" topLeftCell="A3">
      <selection activeCell="O8" sqref="O8"/>
    </sheetView>
  </sheetViews>
  <sheetFormatPr defaultColWidth="9.140625" defaultRowHeight="12.75"/>
  <cols>
    <col min="1" max="1" width="25.7109375" style="0" customWidth="1"/>
    <col min="4" max="5" width="9.140625" style="0" hidden="1" customWidth="1"/>
    <col min="8" max="13" width="0" style="0" hidden="1" customWidth="1"/>
    <col min="18" max="18" width="26.140625" style="0" customWidth="1"/>
  </cols>
  <sheetData>
    <row r="1" spans="1:17" ht="13.5" hidden="1" thickBot="1">
      <c r="A1" s="152"/>
      <c r="B1" s="128"/>
      <c r="C1" s="128"/>
      <c r="D1" s="128"/>
      <c r="E1" s="128"/>
      <c r="F1" s="128"/>
      <c r="G1" s="128"/>
      <c r="H1" s="128"/>
      <c r="I1" s="128"/>
      <c r="J1" s="128"/>
      <c r="K1" s="128"/>
      <c r="L1" s="128"/>
      <c r="M1" s="128"/>
      <c r="N1" s="153"/>
      <c r="O1" s="128"/>
      <c r="P1" s="129"/>
      <c r="Q1" s="154"/>
    </row>
    <row r="2" spans="1:17" ht="13.5" hidden="1" thickBot="1">
      <c r="A2" s="152"/>
      <c r="B2" s="128"/>
      <c r="C2" s="128"/>
      <c r="D2" s="128"/>
      <c r="E2" s="128"/>
      <c r="F2" s="128"/>
      <c r="G2" s="128"/>
      <c r="H2" s="128"/>
      <c r="I2" s="128"/>
      <c r="J2" s="128"/>
      <c r="K2" s="128"/>
      <c r="L2" s="128"/>
      <c r="M2" s="128"/>
      <c r="N2" s="153"/>
      <c r="O2" s="128"/>
      <c r="P2" s="129"/>
      <c r="Q2" s="154"/>
    </row>
    <row r="3" spans="1:18" ht="54.75" customHeight="1" thickBot="1">
      <c r="A3" s="155" t="s">
        <v>84</v>
      </c>
      <c r="B3" s="156" t="s">
        <v>85</v>
      </c>
      <c r="C3" s="157" t="s">
        <v>86</v>
      </c>
      <c r="D3" s="158" t="s">
        <v>86</v>
      </c>
      <c r="E3" s="159" t="s">
        <v>87</v>
      </c>
      <c r="F3" s="160" t="s">
        <v>88</v>
      </c>
      <c r="G3" s="161" t="s">
        <v>89</v>
      </c>
      <c r="H3" s="162" t="s">
        <v>90</v>
      </c>
      <c r="I3" s="163" t="s">
        <v>91</v>
      </c>
      <c r="J3" s="164" t="s">
        <v>92</v>
      </c>
      <c r="K3" s="165" t="s">
        <v>93</v>
      </c>
      <c r="L3" s="166" t="s">
        <v>94</v>
      </c>
      <c r="M3" s="167" t="s">
        <v>95</v>
      </c>
      <c r="N3" s="168" t="s">
        <v>96</v>
      </c>
      <c r="O3" s="169" t="s">
        <v>97</v>
      </c>
      <c r="P3" s="170"/>
      <c r="Q3" s="154"/>
      <c r="R3" s="149" t="s">
        <v>98</v>
      </c>
    </row>
    <row r="4" spans="1:18" ht="16.5" thickBot="1">
      <c r="A4" s="171" t="s">
        <v>99</v>
      </c>
      <c r="B4" s="172">
        <v>15</v>
      </c>
      <c r="C4" s="173">
        <v>15</v>
      </c>
      <c r="D4" s="174">
        <v>0</v>
      </c>
      <c r="E4" s="175">
        <v>0</v>
      </c>
      <c r="F4" s="176">
        <v>25</v>
      </c>
      <c r="G4" s="177">
        <v>25</v>
      </c>
      <c r="H4" s="178"/>
      <c r="I4" s="179"/>
      <c r="J4" s="180"/>
      <c r="K4" s="181"/>
      <c r="L4" s="182"/>
      <c r="M4" s="183"/>
      <c r="N4" s="184">
        <v>400</v>
      </c>
      <c r="O4" s="185">
        <v>20</v>
      </c>
      <c r="P4" s="344" t="s">
        <v>100</v>
      </c>
      <c r="Q4" s="154"/>
      <c r="R4" s="346" t="s">
        <v>101</v>
      </c>
    </row>
    <row r="5" spans="1:18" ht="16.5" thickBot="1">
      <c r="A5" s="186" t="s">
        <v>102</v>
      </c>
      <c r="B5" s="347" t="s">
        <v>103</v>
      </c>
      <c r="C5" s="348"/>
      <c r="D5" s="348"/>
      <c r="E5" s="348"/>
      <c r="F5" s="348"/>
      <c r="G5" s="348"/>
      <c r="H5" s="348"/>
      <c r="I5" s="348"/>
      <c r="J5" s="348"/>
      <c r="K5" s="348"/>
      <c r="L5" s="348"/>
      <c r="M5" s="348"/>
      <c r="N5" s="348"/>
      <c r="O5" s="349"/>
      <c r="P5" s="345"/>
      <c r="Q5" s="154"/>
      <c r="R5" s="346"/>
    </row>
    <row r="6" spans="1:18" ht="12.75">
      <c r="A6" s="187" t="str">
        <f>Team1</f>
        <v>Tumbling Titanics</v>
      </c>
      <c r="B6" s="188"/>
      <c r="C6" s="189"/>
      <c r="D6" s="190"/>
      <c r="E6" s="191"/>
      <c r="F6" s="192"/>
      <c r="G6" s="193"/>
      <c r="H6" s="194"/>
      <c r="I6" s="195"/>
      <c r="J6" s="196"/>
      <c r="K6" s="197"/>
      <c r="L6" s="198"/>
      <c r="M6" s="199"/>
      <c r="N6" s="200">
        <f>'Local Comp Teams'!L3</f>
        <v>0</v>
      </c>
      <c r="O6" s="201">
        <f aca="true" t="shared" si="0" ref="O6:O17">IF(N6=0,0,10*N6/MAX(N$6:N$93))</f>
        <v>0</v>
      </c>
      <c r="P6" s="202">
        <f aca="true" t="shared" si="1" ref="P6:P17">IF(SUM(B6:M6,O6)=0,"",IF(SUM($B$4:$M$4,$O$4)&gt;100,"                               Weights don't add up to 100",(B6*$B$4+$C$4*C6+D6*$D$4+$E$4*E6+$F$4*F6+$H$4*H6+$G$4*G6+$I$4*I6+J6*$J$4+$K$4*K6+L6*$L$4+$M$4*M6+O6*$O$4)/100))</f>
      </c>
      <c r="Q6" s="154"/>
      <c r="R6" s="346"/>
    </row>
    <row r="7" spans="1:18" ht="12.75">
      <c r="A7" s="187" t="str">
        <f>Team2</f>
        <v>Gadget Group</v>
      </c>
      <c r="B7" s="188"/>
      <c r="C7" s="189"/>
      <c r="D7" s="190"/>
      <c r="E7" s="191"/>
      <c r="F7" s="192"/>
      <c r="G7" s="193"/>
      <c r="H7" s="194">
        <v>0</v>
      </c>
      <c r="I7" s="195">
        <v>0</v>
      </c>
      <c r="J7" s="196">
        <v>0</v>
      </c>
      <c r="K7" s="197">
        <v>0</v>
      </c>
      <c r="L7" s="198">
        <v>0</v>
      </c>
      <c r="M7" s="199">
        <v>0</v>
      </c>
      <c r="N7" s="200">
        <f>'Local Comp Teams'!L4</f>
        <v>0</v>
      </c>
      <c r="O7" s="201">
        <f t="shared" si="0"/>
        <v>0</v>
      </c>
      <c r="P7" s="202">
        <f t="shared" si="1"/>
      </c>
      <c r="Q7" s="154"/>
      <c r="R7" s="350" t="s">
        <v>104</v>
      </c>
    </row>
    <row r="8" spans="1:18" ht="12.75">
      <c r="A8" s="187" t="str">
        <f>Team3</f>
        <v>Sea Cucumbers</v>
      </c>
      <c r="B8" s="188"/>
      <c r="C8" s="189"/>
      <c r="D8" s="190"/>
      <c r="E8" s="191"/>
      <c r="F8" s="192"/>
      <c r="G8" s="193"/>
      <c r="H8" s="194"/>
      <c r="I8" s="195"/>
      <c r="J8" s="196"/>
      <c r="K8" s="197"/>
      <c r="L8" s="198"/>
      <c r="M8" s="199"/>
      <c r="N8" s="200">
        <f>'Local Comp Teams'!L5</f>
        <v>0</v>
      </c>
      <c r="O8" s="201">
        <f t="shared" si="0"/>
        <v>0</v>
      </c>
      <c r="P8" s="202">
        <f t="shared" si="1"/>
      </c>
      <c r="Q8" s="154"/>
      <c r="R8" s="350"/>
    </row>
    <row r="9" spans="1:18" ht="12.75">
      <c r="A9" s="187" t="str">
        <f>Team4</f>
        <v>Lords of the Legos</v>
      </c>
      <c r="B9" s="188"/>
      <c r="C9" s="189"/>
      <c r="D9" s="190"/>
      <c r="E9" s="191"/>
      <c r="F9" s="192"/>
      <c r="G9" s="193"/>
      <c r="H9" s="194"/>
      <c r="I9" s="195"/>
      <c r="J9" s="196"/>
      <c r="K9" s="197"/>
      <c r="L9" s="198"/>
      <c r="M9" s="199"/>
      <c r="N9" s="200">
        <f>'Local Comp Teams'!L6</f>
        <v>0</v>
      </c>
      <c r="O9" s="201">
        <f t="shared" si="0"/>
        <v>0</v>
      </c>
      <c r="P9" s="202">
        <f t="shared" si="1"/>
      </c>
      <c r="Q9" s="154"/>
      <c r="R9" s="350"/>
    </row>
    <row r="10" spans="1:18" ht="12.75">
      <c r="A10" s="187" t="str">
        <f>Team5</f>
        <v>AquaBots</v>
      </c>
      <c r="B10" s="188"/>
      <c r="C10" s="189"/>
      <c r="D10" s="190"/>
      <c r="E10" s="191"/>
      <c r="F10" s="192"/>
      <c r="G10" s="193"/>
      <c r="H10" s="194"/>
      <c r="I10" s="195"/>
      <c r="J10" s="196"/>
      <c r="K10" s="197"/>
      <c r="L10" s="198"/>
      <c r="M10" s="199"/>
      <c r="N10" s="200">
        <f>'Local Comp Teams'!L7</f>
        <v>0</v>
      </c>
      <c r="O10" s="201">
        <f t="shared" si="0"/>
        <v>0</v>
      </c>
      <c r="P10" s="202">
        <f t="shared" si="1"/>
      </c>
      <c r="Q10" s="154"/>
      <c r="R10" s="350"/>
    </row>
    <row r="11" spans="1:17" ht="12.75">
      <c r="A11" s="187" t="str">
        <f>Team6</f>
        <v>Supersonic Turtles</v>
      </c>
      <c r="B11" s="188"/>
      <c r="C11" s="189"/>
      <c r="D11" s="190"/>
      <c r="E11" s="191"/>
      <c r="F11" s="192"/>
      <c r="G11" s="193"/>
      <c r="H11" s="194"/>
      <c r="I11" s="195"/>
      <c r="J11" s="196"/>
      <c r="K11" s="197"/>
      <c r="L11" s="198"/>
      <c r="M11" s="199"/>
      <c r="N11" s="200">
        <f>'Local Comp Teams'!L8</f>
        <v>0</v>
      </c>
      <c r="O11" s="201">
        <f t="shared" si="0"/>
        <v>0</v>
      </c>
      <c r="P11" s="202">
        <f t="shared" si="1"/>
      </c>
      <c r="Q11" s="154"/>
    </row>
    <row r="12" spans="1:17" ht="12.75">
      <c r="A12" s="187" t="str">
        <f>Team7</f>
        <v>Rocking Robotics</v>
      </c>
      <c r="B12" s="188"/>
      <c r="C12" s="189"/>
      <c r="D12" s="190"/>
      <c r="E12" s="191"/>
      <c r="F12" s="192"/>
      <c r="G12" s="193"/>
      <c r="H12" s="194">
        <v>0</v>
      </c>
      <c r="I12" s="195">
        <v>0</v>
      </c>
      <c r="J12" s="196">
        <v>0</v>
      </c>
      <c r="K12" s="197">
        <v>0</v>
      </c>
      <c r="L12" s="198">
        <v>0</v>
      </c>
      <c r="M12" s="199">
        <v>0</v>
      </c>
      <c r="N12" s="200">
        <f>'Local Comp Teams'!L9</f>
        <v>0</v>
      </c>
      <c r="O12" s="201">
        <f t="shared" si="0"/>
        <v>0</v>
      </c>
      <c r="P12" s="202">
        <f t="shared" si="1"/>
      </c>
      <c r="Q12" s="154"/>
    </row>
    <row r="13" spans="1:17" ht="12.75">
      <c r="A13" s="187" t="str">
        <f>Team8</f>
        <v>Lego Stars</v>
      </c>
      <c r="B13" s="188"/>
      <c r="C13" s="189"/>
      <c r="D13" s="190"/>
      <c r="E13" s="191"/>
      <c r="F13" s="192"/>
      <c r="G13" s="193"/>
      <c r="H13" s="194">
        <v>0</v>
      </c>
      <c r="I13" s="195">
        <v>0</v>
      </c>
      <c r="J13" s="196">
        <v>0</v>
      </c>
      <c r="K13" s="197">
        <v>0</v>
      </c>
      <c r="L13" s="198">
        <v>0</v>
      </c>
      <c r="M13" s="199">
        <v>0</v>
      </c>
      <c r="N13" s="200">
        <f>'Local Comp Teams'!L10</f>
        <v>0</v>
      </c>
      <c r="O13" s="201">
        <f t="shared" si="0"/>
        <v>0</v>
      </c>
      <c r="P13" s="202">
        <f t="shared" si="1"/>
      </c>
      <c r="Q13" s="154"/>
    </row>
    <row r="14" spans="1:17" ht="12.75">
      <c r="A14" s="187" t="str">
        <f>Team9</f>
        <v>SEABEES</v>
      </c>
      <c r="B14" s="188"/>
      <c r="C14" s="189"/>
      <c r="D14" s="190"/>
      <c r="E14" s="191"/>
      <c r="F14" s="192"/>
      <c r="G14" s="193"/>
      <c r="H14" s="194">
        <v>0</v>
      </c>
      <c r="I14" s="195">
        <v>0</v>
      </c>
      <c r="J14" s="196">
        <v>0</v>
      </c>
      <c r="K14" s="197">
        <v>0</v>
      </c>
      <c r="L14" s="198">
        <v>0</v>
      </c>
      <c r="M14" s="199">
        <v>0</v>
      </c>
      <c r="N14" s="200">
        <f>'Local Comp Teams'!L11</f>
        <v>0</v>
      </c>
      <c r="O14" s="201">
        <f t="shared" si="0"/>
        <v>0</v>
      </c>
      <c r="P14" s="202">
        <f t="shared" si="1"/>
      </c>
      <c r="Q14" s="154"/>
    </row>
    <row r="15" spans="1:17" ht="12.75">
      <c r="A15" s="187" t="str">
        <f>Team10</f>
        <v>Defy Gravity</v>
      </c>
      <c r="B15" s="188"/>
      <c r="C15" s="189"/>
      <c r="D15" s="190"/>
      <c r="E15" s="191"/>
      <c r="F15" s="192"/>
      <c r="G15" s="193"/>
      <c r="H15" s="194">
        <v>0</v>
      </c>
      <c r="I15" s="195">
        <v>0</v>
      </c>
      <c r="J15" s="196">
        <v>0</v>
      </c>
      <c r="K15" s="197">
        <v>0</v>
      </c>
      <c r="L15" s="198">
        <v>0</v>
      </c>
      <c r="M15" s="199">
        <v>0</v>
      </c>
      <c r="N15" s="200">
        <f>'Local Comp Teams'!L12</f>
        <v>0</v>
      </c>
      <c r="O15" s="201">
        <f t="shared" si="0"/>
        <v>0</v>
      </c>
      <c r="P15" s="202">
        <f t="shared" si="1"/>
      </c>
      <c r="Q15" s="154"/>
    </row>
    <row r="16" spans="1:17" ht="12.75">
      <c r="A16" s="187" t="str">
        <f>Team11</f>
        <v>LEGO Legends</v>
      </c>
      <c r="B16" s="188"/>
      <c r="C16" s="189"/>
      <c r="D16" s="190"/>
      <c r="E16" s="191"/>
      <c r="F16" s="192"/>
      <c r="G16" s="193"/>
      <c r="H16" s="194">
        <v>0</v>
      </c>
      <c r="I16" s="195">
        <v>0</v>
      </c>
      <c r="J16" s="196">
        <v>0</v>
      </c>
      <c r="K16" s="197">
        <v>0</v>
      </c>
      <c r="L16" s="198">
        <v>0</v>
      </c>
      <c r="M16" s="199">
        <v>0</v>
      </c>
      <c r="N16" s="200">
        <f>'Local Comp Teams'!L13</f>
        <v>0</v>
      </c>
      <c r="O16" s="201">
        <f t="shared" si="0"/>
        <v>0</v>
      </c>
      <c r="P16" s="202">
        <f t="shared" si="1"/>
      </c>
      <c r="Q16" s="154"/>
    </row>
    <row r="17" spans="1:17" ht="12.75">
      <c r="A17" s="187" t="str">
        <f>Team12</f>
        <v>DogBots</v>
      </c>
      <c r="B17" s="188"/>
      <c r="C17" s="189"/>
      <c r="D17" s="190"/>
      <c r="E17" s="191"/>
      <c r="F17" s="192"/>
      <c r="G17" s="193"/>
      <c r="H17" s="194">
        <v>0</v>
      </c>
      <c r="I17" s="195">
        <v>0</v>
      </c>
      <c r="J17" s="196">
        <v>0</v>
      </c>
      <c r="K17" s="197">
        <v>0</v>
      </c>
      <c r="L17" s="198">
        <v>0</v>
      </c>
      <c r="M17" s="199">
        <v>0</v>
      </c>
      <c r="N17" s="200">
        <f>'Local Comp Teams'!L14</f>
        <v>0</v>
      </c>
      <c r="O17" s="201">
        <f t="shared" si="0"/>
        <v>0</v>
      </c>
      <c r="P17" s="202">
        <f t="shared" si="1"/>
      </c>
      <c r="Q17" s="154"/>
    </row>
    <row r="18" spans="1:17" ht="13.5" thickBot="1">
      <c r="A18" s="204"/>
      <c r="B18" s="205"/>
      <c r="C18" s="206"/>
      <c r="D18" s="207"/>
      <c r="E18" s="208"/>
      <c r="F18" s="207"/>
      <c r="G18" s="208"/>
      <c r="H18" s="206"/>
      <c r="I18" s="208"/>
      <c r="J18" s="207"/>
      <c r="K18" s="208"/>
      <c r="L18" s="208"/>
      <c r="M18" s="208"/>
      <c r="N18" s="153"/>
      <c r="O18" s="209"/>
      <c r="P18" s="210"/>
      <c r="Q18" s="154"/>
    </row>
    <row r="19" spans="1:17" ht="13.5" thickBot="1">
      <c r="A19" s="211" t="s">
        <v>105</v>
      </c>
      <c r="B19" s="212" t="s">
        <v>106</v>
      </c>
      <c r="C19" s="213" t="s">
        <v>107</v>
      </c>
      <c r="D19" s="207"/>
      <c r="E19" s="208"/>
      <c r="G19" s="208"/>
      <c r="H19" s="206"/>
      <c r="I19" s="208"/>
      <c r="J19" s="207"/>
      <c r="K19" s="208"/>
      <c r="L19" s="208"/>
      <c r="M19" s="208"/>
      <c r="N19" s="153"/>
      <c r="O19" s="209"/>
      <c r="P19" s="210"/>
      <c r="Q19" s="154"/>
    </row>
    <row r="20" spans="1:17" ht="12.75" customHeight="1">
      <c r="A20" s="214">
        <v>3</v>
      </c>
      <c r="B20" s="215">
        <v>2</v>
      </c>
      <c r="C20" s="216">
        <v>1</v>
      </c>
      <c r="D20" s="207"/>
      <c r="E20" s="208"/>
      <c r="F20" s="207"/>
      <c r="G20" s="208"/>
      <c r="H20" s="206"/>
      <c r="I20" s="208"/>
      <c r="J20" s="207"/>
      <c r="K20" s="208"/>
      <c r="L20" s="208"/>
      <c r="M20" s="208"/>
      <c r="N20" s="335" t="s">
        <v>108</v>
      </c>
      <c r="O20" s="336"/>
      <c r="P20" s="337"/>
      <c r="Q20" s="154"/>
    </row>
    <row r="21" spans="1:17" ht="12.75" customHeight="1">
      <c r="A21" s="214">
        <v>1</v>
      </c>
      <c r="B21" s="217">
        <v>1.0666666666666667</v>
      </c>
      <c r="C21" s="216">
        <v>2</v>
      </c>
      <c r="D21" s="207"/>
      <c r="E21" s="208"/>
      <c r="F21" s="207"/>
      <c r="G21" s="208"/>
      <c r="H21" s="206"/>
      <c r="I21" s="208"/>
      <c r="J21" s="207"/>
      <c r="K21" s="208"/>
      <c r="L21" s="208"/>
      <c r="M21" s="208"/>
      <c r="N21" s="338"/>
      <c r="O21" s="339"/>
      <c r="P21" s="340"/>
      <c r="Q21" s="154"/>
    </row>
    <row r="22" spans="1:17" ht="12.75" customHeight="1">
      <c r="A22" s="214">
        <v>5</v>
      </c>
      <c r="B22" s="217">
        <v>0.8</v>
      </c>
      <c r="C22" s="216">
        <v>3</v>
      </c>
      <c r="D22" s="207"/>
      <c r="E22" s="208"/>
      <c r="F22" s="207"/>
      <c r="G22" s="208"/>
      <c r="H22" s="206"/>
      <c r="I22" s="208"/>
      <c r="J22" s="207"/>
      <c r="K22" s="208"/>
      <c r="L22" s="208"/>
      <c r="M22" s="208"/>
      <c r="N22" s="338"/>
      <c r="O22" s="339"/>
      <c r="P22" s="340"/>
      <c r="Q22" s="154"/>
    </row>
    <row r="23" spans="1:16" ht="12.75" customHeight="1">
      <c r="A23" s="218">
        <v>2</v>
      </c>
      <c r="B23" s="217">
        <v>0.75</v>
      </c>
      <c r="C23" s="216">
        <v>4</v>
      </c>
      <c r="F23" s="207"/>
      <c r="N23" s="338"/>
      <c r="O23" s="339"/>
      <c r="P23" s="340"/>
    </row>
    <row r="24" spans="1:16" ht="12.75" customHeight="1">
      <c r="A24" s="187">
        <v>4</v>
      </c>
      <c r="B24" s="217">
        <v>0.75</v>
      </c>
      <c r="C24" s="216">
        <v>5</v>
      </c>
      <c r="F24" s="207"/>
      <c r="N24" s="338"/>
      <c r="O24" s="339"/>
      <c r="P24" s="340"/>
    </row>
    <row r="25" spans="1:16" ht="12.75" customHeight="1">
      <c r="A25" s="214">
        <v>6</v>
      </c>
      <c r="B25" s="217">
        <v>0.75</v>
      </c>
      <c r="C25" s="216">
        <v>6</v>
      </c>
      <c r="F25" s="207"/>
      <c r="N25" s="338"/>
      <c r="O25" s="339"/>
      <c r="P25" s="340"/>
    </row>
    <row r="26" spans="1:16" ht="12.75" customHeight="1">
      <c r="A26" s="214">
        <v>7</v>
      </c>
      <c r="B26" s="217">
        <v>0.75</v>
      </c>
      <c r="C26" s="216">
        <v>7</v>
      </c>
      <c r="F26" s="207"/>
      <c r="N26" s="338"/>
      <c r="O26" s="339"/>
      <c r="P26" s="340"/>
    </row>
    <row r="27" spans="1:16" ht="12.75" customHeight="1">
      <c r="A27" s="187">
        <v>8</v>
      </c>
      <c r="B27" s="217">
        <v>0.75</v>
      </c>
      <c r="C27" s="216">
        <v>8</v>
      </c>
      <c r="F27" s="207"/>
      <c r="N27" s="338"/>
      <c r="O27" s="339"/>
      <c r="P27" s="340"/>
    </row>
    <row r="28" spans="1:16" ht="12.75" customHeight="1">
      <c r="A28" s="214">
        <v>9</v>
      </c>
      <c r="B28" s="217">
        <v>0.75</v>
      </c>
      <c r="C28" s="216">
        <v>9</v>
      </c>
      <c r="F28" s="207"/>
      <c r="N28" s="338"/>
      <c r="O28" s="339"/>
      <c r="P28" s="340"/>
    </row>
    <row r="29" spans="1:16" ht="12.75" customHeight="1">
      <c r="A29" s="214">
        <v>10</v>
      </c>
      <c r="B29" s="217">
        <v>0.75</v>
      </c>
      <c r="C29" s="216">
        <v>10</v>
      </c>
      <c r="F29" s="207"/>
      <c r="N29" s="338"/>
      <c r="O29" s="339"/>
      <c r="P29" s="340"/>
    </row>
    <row r="30" spans="1:16" ht="12.75" customHeight="1">
      <c r="A30" s="214">
        <v>11</v>
      </c>
      <c r="B30" s="217">
        <v>0.75</v>
      </c>
      <c r="C30" s="216">
        <v>11</v>
      </c>
      <c r="F30" s="207"/>
      <c r="N30" s="338"/>
      <c r="O30" s="339"/>
      <c r="P30" s="340"/>
    </row>
    <row r="31" spans="1:16" ht="12.75" customHeight="1" thickBot="1">
      <c r="A31" s="219">
        <v>12</v>
      </c>
      <c r="B31" s="220">
        <v>0.75</v>
      </c>
      <c r="C31" s="216">
        <v>12</v>
      </c>
      <c r="F31" s="207"/>
      <c r="N31" s="341"/>
      <c r="O31" s="342"/>
      <c r="P31" s="343"/>
    </row>
    <row r="32" spans="1:6" ht="12.75" customHeight="1">
      <c r="A32" s="128"/>
      <c r="B32" s="221"/>
      <c r="C32" s="153"/>
      <c r="F32" s="207"/>
    </row>
    <row r="33" spans="1:6" ht="12.75" customHeight="1">
      <c r="A33" s="128"/>
      <c r="B33" s="221"/>
      <c r="C33" s="153"/>
      <c r="F33" s="207"/>
    </row>
    <row r="34" spans="1:6" ht="12.75" customHeight="1">
      <c r="A34" s="128"/>
      <c r="B34" s="221"/>
      <c r="C34" s="153"/>
      <c r="F34" s="207"/>
    </row>
    <row r="35" spans="1:6" ht="12.75" customHeight="1">
      <c r="A35" s="128"/>
      <c r="B35" s="221"/>
      <c r="C35" s="153"/>
      <c r="F35" s="207"/>
    </row>
    <row r="36" spans="1:6" ht="12.75">
      <c r="A36" s="128"/>
      <c r="B36" s="221"/>
      <c r="C36" s="153"/>
      <c r="F36" s="207"/>
    </row>
    <row r="37" spans="1:3" ht="12.75">
      <c r="A37" s="128"/>
      <c r="B37" s="221"/>
      <c r="C37" s="153"/>
    </row>
    <row r="38" spans="1:3" ht="12.75">
      <c r="A38" s="128"/>
      <c r="B38" s="221"/>
      <c r="C38" s="153"/>
    </row>
    <row r="39" spans="1:3" ht="12.75">
      <c r="A39" s="128"/>
      <c r="B39" s="221"/>
      <c r="C39" s="153"/>
    </row>
    <row r="40" spans="1:3" ht="12.75">
      <c r="A40" s="128"/>
      <c r="B40" s="221"/>
      <c r="C40" s="128"/>
    </row>
  </sheetData>
  <mergeCells count="5">
    <mergeCell ref="N20:P31"/>
    <mergeCell ref="P4:P5"/>
    <mergeCell ref="R4:R6"/>
    <mergeCell ref="B5:O5"/>
    <mergeCell ref="R7:R10"/>
  </mergeCells>
  <printOptions/>
  <pageMargins left="0.39" right="0.21" top="0.52" bottom="0.48" header="0.5" footer="0.5"/>
  <pageSetup fitToHeight="1" fitToWidth="1" horizontalDpi="300" verticalDpi="300" orientation="landscape" scale="96"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2:C43"/>
  <sheetViews>
    <sheetView workbookViewId="0" topLeftCell="A1">
      <selection activeCell="A14" sqref="A14"/>
    </sheetView>
  </sheetViews>
  <sheetFormatPr defaultColWidth="9.140625" defaultRowHeight="12.75"/>
  <cols>
    <col min="1" max="1" width="29.421875" style="0" customWidth="1"/>
    <col min="2" max="2" width="32.00390625" style="0" customWidth="1"/>
    <col min="3" max="3" width="37.8515625" style="0" customWidth="1"/>
  </cols>
  <sheetData>
    <row r="2" spans="1:2" ht="12.75">
      <c r="A2" s="131" t="s">
        <v>109</v>
      </c>
      <c r="B2" s="131"/>
    </row>
    <row r="5" spans="1:3" ht="12.75">
      <c r="A5" t="s">
        <v>110</v>
      </c>
      <c r="B5" t="s">
        <v>111</v>
      </c>
      <c r="C5" t="s">
        <v>112</v>
      </c>
    </row>
    <row r="7" spans="1:3" ht="12.75">
      <c r="A7" t="s">
        <v>113</v>
      </c>
      <c r="B7" t="s">
        <v>111</v>
      </c>
      <c r="C7" t="s">
        <v>112</v>
      </c>
    </row>
    <row r="9" spans="1:3" ht="12.75">
      <c r="A9" t="s">
        <v>114</v>
      </c>
      <c r="B9" t="s">
        <v>111</v>
      </c>
      <c r="C9" t="s">
        <v>112</v>
      </c>
    </row>
    <row r="11" spans="1:3" ht="38.25">
      <c r="A11" s="222" t="s">
        <v>115</v>
      </c>
      <c r="B11" t="s">
        <v>111</v>
      </c>
      <c r="C11" t="s">
        <v>112</v>
      </c>
    </row>
    <row r="13" spans="1:3" ht="12.75">
      <c r="A13" t="s">
        <v>260</v>
      </c>
      <c r="B13" t="s">
        <v>111</v>
      </c>
      <c r="C13" t="s">
        <v>112</v>
      </c>
    </row>
    <row r="15" spans="1:3" ht="12.75">
      <c r="A15" t="s">
        <v>116</v>
      </c>
      <c r="B15" t="s">
        <v>111</v>
      </c>
      <c r="C15" t="s">
        <v>112</v>
      </c>
    </row>
    <row r="17" ht="12.75">
      <c r="A17" t="s">
        <v>117</v>
      </c>
    </row>
    <row r="19" spans="1:3" ht="12.75">
      <c r="A19" t="s">
        <v>118</v>
      </c>
      <c r="B19" t="s">
        <v>111</v>
      </c>
      <c r="C19" t="s">
        <v>111</v>
      </c>
    </row>
    <row r="21" spans="1:3" ht="12.75">
      <c r="A21" t="s">
        <v>119</v>
      </c>
      <c r="B21" t="s">
        <v>111</v>
      </c>
      <c r="C21" t="s">
        <v>111</v>
      </c>
    </row>
    <row r="23" spans="1:3" ht="12.75">
      <c r="A23" t="s">
        <v>120</v>
      </c>
      <c r="B23" t="s">
        <v>111</v>
      </c>
      <c r="C23" t="s">
        <v>111</v>
      </c>
    </row>
    <row r="25" spans="1:3" ht="12.75">
      <c r="A25" t="s">
        <v>121</v>
      </c>
      <c r="B25" t="s">
        <v>111</v>
      </c>
      <c r="C25" t="s">
        <v>111</v>
      </c>
    </row>
    <row r="27" spans="1:3" ht="12.75">
      <c r="A27" t="s">
        <v>122</v>
      </c>
      <c r="B27" t="s">
        <v>111</v>
      </c>
      <c r="C27" t="s">
        <v>111</v>
      </c>
    </row>
    <row r="29" spans="1:3" ht="12.75">
      <c r="A29" t="s">
        <v>123</v>
      </c>
      <c r="B29" t="s">
        <v>111</v>
      </c>
      <c r="C29" t="s">
        <v>111</v>
      </c>
    </row>
    <row r="31" spans="1:3" ht="12.75">
      <c r="A31" t="s">
        <v>124</v>
      </c>
      <c r="B31" t="s">
        <v>111</v>
      </c>
      <c r="C31" t="s">
        <v>111</v>
      </c>
    </row>
    <row r="33" spans="1:3" ht="12.75">
      <c r="A33" t="s">
        <v>125</v>
      </c>
      <c r="B33" t="s">
        <v>111</v>
      </c>
      <c r="C33" t="s">
        <v>111</v>
      </c>
    </row>
    <row r="35" ht="12.75">
      <c r="A35" t="s">
        <v>126</v>
      </c>
    </row>
    <row r="37" spans="1:3" ht="38.25">
      <c r="A37" s="222" t="s">
        <v>127</v>
      </c>
      <c r="B37" t="s">
        <v>111</v>
      </c>
      <c r="C37" t="s">
        <v>112</v>
      </c>
    </row>
    <row r="38" ht="12.75">
      <c r="A38" t="s">
        <v>128</v>
      </c>
    </row>
    <row r="39" spans="1:3" ht="12.75">
      <c r="A39" t="s">
        <v>129</v>
      </c>
      <c r="B39" t="s">
        <v>130</v>
      </c>
      <c r="C39" t="s">
        <v>131</v>
      </c>
    </row>
    <row r="41" spans="1:3" ht="12.75">
      <c r="A41" t="s">
        <v>132</v>
      </c>
      <c r="B41" t="s">
        <v>111</v>
      </c>
      <c r="C41" t="s">
        <v>112</v>
      </c>
    </row>
    <row r="43" spans="2:3" ht="12.75">
      <c r="B43" t="s">
        <v>133</v>
      </c>
      <c r="C43" t="s">
        <v>134</v>
      </c>
    </row>
  </sheetData>
  <printOptions/>
  <pageMargins left="0.75" right="0.75" top="1" bottom="1" header="0.5" footer="0.5"/>
  <pageSetup fitToHeight="1" fitToWidth="1" horizontalDpi="300" verticalDpi="300" orientation="portrait" scale="88" r:id="rId1"/>
  <headerFooter alignWithMargins="0">
    <oddHeader>&amp;C&amp;"Arial,Bold"&amp;20Los Altos FLL Local Competiton
November 20, 2004</oddHeader>
    <oddFooter>&amp;L&amp;D&amp;R&amp;F:"&amp;A"</oddFooter>
  </headerFooter>
</worksheet>
</file>

<file path=xl/worksheets/sheet8.xml><?xml version="1.0" encoding="utf-8"?>
<worksheet xmlns="http://schemas.openxmlformats.org/spreadsheetml/2006/main" xmlns:r="http://schemas.openxmlformats.org/officeDocument/2006/relationships">
  <sheetPr codeName="Sheet9"/>
  <dimension ref="A1:F42"/>
  <sheetViews>
    <sheetView workbookViewId="0" topLeftCell="A1">
      <selection activeCell="A1" sqref="A1:E1"/>
    </sheetView>
  </sheetViews>
  <sheetFormatPr defaultColWidth="9.140625" defaultRowHeight="12.75"/>
  <cols>
    <col min="4" max="6" width="21.421875" style="0" customWidth="1"/>
  </cols>
  <sheetData>
    <row r="1" spans="1:5" ht="27" thickBot="1">
      <c r="A1" s="351" t="s">
        <v>263</v>
      </c>
      <c r="B1" s="352"/>
      <c r="C1" s="352"/>
      <c r="D1" s="352"/>
      <c r="E1" s="353"/>
    </row>
    <row r="2" spans="1:5" ht="13.5" thickBot="1">
      <c r="A2" s="219" t="s">
        <v>259</v>
      </c>
      <c r="B2" s="286" t="s">
        <v>264</v>
      </c>
      <c r="C2" s="286" t="s">
        <v>38</v>
      </c>
      <c r="D2" s="286" t="s">
        <v>265</v>
      </c>
      <c r="E2" s="287" t="s">
        <v>266</v>
      </c>
    </row>
    <row r="3" spans="1:5" ht="12.75">
      <c r="A3" s="377" t="s">
        <v>137</v>
      </c>
      <c r="B3" s="378">
        <v>1</v>
      </c>
      <c r="C3" s="379">
        <v>0.06597222222222222</v>
      </c>
      <c r="D3" s="396" t="str">
        <f>Team4</f>
        <v>Lords of the Legos</v>
      </c>
      <c r="E3" s="397" t="str">
        <f>Team8</f>
        <v>Lego Stars</v>
      </c>
    </row>
    <row r="4" spans="1:5" ht="12.75">
      <c r="A4" s="380"/>
      <c r="B4" s="381">
        <v>2</v>
      </c>
      <c r="C4" s="382">
        <v>0.07083333333333333</v>
      </c>
      <c r="D4" s="392" t="str">
        <f>Team11</f>
        <v>LEGO Legends</v>
      </c>
      <c r="E4" s="393" t="str">
        <f>Team7</f>
        <v>Rocking Robotics</v>
      </c>
    </row>
    <row r="5" spans="1:5" ht="12.75">
      <c r="A5" s="380"/>
      <c r="B5" s="381">
        <v>3</v>
      </c>
      <c r="C5" s="382">
        <v>0.07569444444444444</v>
      </c>
      <c r="D5" s="392" t="str">
        <f>Team5</f>
        <v>AquaBots</v>
      </c>
      <c r="E5" s="393" t="str">
        <f>Team9</f>
        <v>SEABEES</v>
      </c>
    </row>
    <row r="6" spans="1:5" ht="12.75">
      <c r="A6" s="380"/>
      <c r="B6" s="381">
        <v>4</v>
      </c>
      <c r="C6" s="382">
        <v>0.08055555555555556</v>
      </c>
      <c r="D6" s="392" t="str">
        <f>Team6</f>
        <v>Supersonic Turtles</v>
      </c>
      <c r="E6" s="393" t="str">
        <f>Team10</f>
        <v>Defy Gravity</v>
      </c>
    </row>
    <row r="7" spans="1:5" ht="12.75">
      <c r="A7" s="380" t="s">
        <v>138</v>
      </c>
      <c r="B7" s="381">
        <v>1</v>
      </c>
      <c r="C7" s="382">
        <v>0.08541666666666665</v>
      </c>
      <c r="D7" s="392" t="str">
        <f>Team12</f>
        <v>DogBots</v>
      </c>
      <c r="E7" s="393" t="str">
        <f>Team7</f>
        <v>Rocking Robotics</v>
      </c>
    </row>
    <row r="8" spans="1:5" ht="12.75">
      <c r="A8" s="380"/>
      <c r="B8" s="381">
        <v>2</v>
      </c>
      <c r="C8" s="382">
        <v>0.09027777777777778</v>
      </c>
      <c r="D8" s="392" t="str">
        <f>Team8</f>
        <v>Lego Stars</v>
      </c>
      <c r="E8" s="393" t="str">
        <f>Team9</f>
        <v>SEABEES</v>
      </c>
    </row>
    <row r="9" spans="1:5" ht="12.75">
      <c r="A9" s="380"/>
      <c r="B9" s="381">
        <v>3</v>
      </c>
      <c r="C9" s="382">
        <v>0.09513888888888888</v>
      </c>
      <c r="D9" s="392" t="str">
        <f>Team10</f>
        <v>Defy Gravity</v>
      </c>
      <c r="E9" s="393" t="str">
        <f>Team11</f>
        <v>LEGO Legends</v>
      </c>
    </row>
    <row r="10" spans="1:5" ht="12.75">
      <c r="A10" s="380"/>
      <c r="B10" s="381">
        <v>4</v>
      </c>
      <c r="C10" s="382">
        <v>0.1</v>
      </c>
      <c r="D10" s="392" t="str">
        <f>Team2</f>
        <v>Gadget Group</v>
      </c>
      <c r="E10" s="393" t="str">
        <f>Team12</f>
        <v>DogBots</v>
      </c>
    </row>
    <row r="11" spans="1:5" ht="12.75">
      <c r="A11" s="380"/>
      <c r="B11" s="381">
        <v>5</v>
      </c>
      <c r="C11" s="382">
        <v>0.10486111111111111</v>
      </c>
      <c r="D11" s="392" t="str">
        <f>Team3</f>
        <v>Sea Cucumbers</v>
      </c>
      <c r="E11" s="393" t="str">
        <f>Team1</f>
        <v>Tumbling Titanics</v>
      </c>
    </row>
    <row r="12" spans="1:5" ht="12.75">
      <c r="A12" s="380" t="s">
        <v>139</v>
      </c>
      <c r="B12" s="381">
        <v>1</v>
      </c>
      <c r="C12" s="382">
        <v>0.11666666666666665</v>
      </c>
      <c r="D12" s="392" t="str">
        <f>Team1</f>
        <v>Tumbling Titanics</v>
      </c>
      <c r="E12" s="393" t="str">
        <f>Team5</f>
        <v>AquaBots</v>
      </c>
    </row>
    <row r="13" spans="1:5" ht="12.75">
      <c r="A13" s="380"/>
      <c r="B13" s="381">
        <v>2</v>
      </c>
      <c r="C13" s="382">
        <v>0.12152777777777778</v>
      </c>
      <c r="D13" s="392" t="str">
        <f>Team4</f>
        <v>Lords of the Legos</v>
      </c>
      <c r="E13" s="393" t="str">
        <f>Team11</f>
        <v>LEGO Legends</v>
      </c>
    </row>
    <row r="14" spans="1:5" ht="12.75">
      <c r="A14" s="380"/>
      <c r="B14" s="381">
        <v>3</v>
      </c>
      <c r="C14" s="382">
        <v>0.12638888888888888</v>
      </c>
      <c r="D14" s="392" t="str">
        <f>Team10</f>
        <v>Defy Gravity</v>
      </c>
      <c r="E14" s="393" t="str">
        <f>Team2</f>
        <v>Gadget Group</v>
      </c>
    </row>
    <row r="15" spans="1:5" ht="12.75">
      <c r="A15" s="380"/>
      <c r="B15" s="381">
        <v>4</v>
      </c>
      <c r="C15" s="382">
        <v>0.13125</v>
      </c>
      <c r="D15" s="392" t="str">
        <f>Team12</f>
        <v>DogBots</v>
      </c>
      <c r="E15" s="393" t="str">
        <f>Team3</f>
        <v>Sea Cucumbers</v>
      </c>
    </row>
    <row r="16" spans="1:5" ht="12.75">
      <c r="A16" s="380" t="s">
        <v>140</v>
      </c>
      <c r="B16" s="381">
        <v>1</v>
      </c>
      <c r="C16" s="382">
        <v>0.1361111111111111</v>
      </c>
      <c r="D16" s="392" t="str">
        <f>Team6</f>
        <v>Supersonic Turtles</v>
      </c>
      <c r="E16" s="393" t="str">
        <f>Team4</f>
        <v>Lords of the Legos</v>
      </c>
    </row>
    <row r="17" spans="1:5" ht="12.75">
      <c r="A17" s="380"/>
      <c r="B17" s="381">
        <v>2</v>
      </c>
      <c r="C17" s="382">
        <v>0.14027777777777778</v>
      </c>
      <c r="D17" s="392" t="str">
        <f>Team7</f>
        <v>Rocking Robotics</v>
      </c>
      <c r="E17" s="393" t="str">
        <f>Team1</f>
        <v>Tumbling Titanics</v>
      </c>
    </row>
    <row r="18" spans="1:5" ht="12.75">
      <c r="A18" s="380"/>
      <c r="B18" s="381">
        <v>3</v>
      </c>
      <c r="C18" s="382">
        <v>0.14444444444444446</v>
      </c>
      <c r="D18" s="392" t="str">
        <f>Team9</f>
        <v>SEABEES</v>
      </c>
      <c r="E18" s="393" t="str">
        <f>Team3</f>
        <v>Sea Cucumbers</v>
      </c>
    </row>
    <row r="19" spans="1:5" ht="12.75">
      <c r="A19" s="380"/>
      <c r="B19" s="381">
        <v>4</v>
      </c>
      <c r="C19" s="382">
        <v>0.1486111111111111</v>
      </c>
      <c r="D19" s="392" t="str">
        <f>Team8</f>
        <v>Lego Stars</v>
      </c>
      <c r="E19" s="393" t="str">
        <f>Team5</f>
        <v>AquaBots</v>
      </c>
    </row>
    <row r="20" spans="1:5" ht="12.75">
      <c r="A20" s="380"/>
      <c r="B20" s="381">
        <v>5</v>
      </c>
      <c r="C20" s="382">
        <v>0.15277777777777776</v>
      </c>
      <c r="D20" s="392" t="str">
        <f>Team2</f>
        <v>Gadget Group</v>
      </c>
      <c r="E20" s="393" t="str">
        <f>Team6</f>
        <v>Supersonic Turtles</v>
      </c>
    </row>
    <row r="21" spans="1:5" ht="12.75">
      <c r="A21" s="380" t="s">
        <v>258</v>
      </c>
      <c r="B21" s="381">
        <v>1</v>
      </c>
      <c r="C21" s="382">
        <v>0.1708333333333333</v>
      </c>
      <c r="D21" s="392" t="str">
        <f>Team1</f>
        <v>Tumbling Titanics</v>
      </c>
      <c r="E21" s="393" t="str">
        <f>Team2</f>
        <v>Gadget Group</v>
      </c>
    </row>
    <row r="22" spans="1:5" ht="12.75">
      <c r="A22" s="380"/>
      <c r="B22" s="381">
        <v>2</v>
      </c>
      <c r="C22" s="382">
        <v>0.17430555555555557</v>
      </c>
      <c r="D22" s="392" t="str">
        <f>Team3</f>
        <v>Sea Cucumbers</v>
      </c>
      <c r="E22" s="393" t="str">
        <f>Team4</f>
        <v>Lords of the Legos</v>
      </c>
    </row>
    <row r="23" spans="1:5" ht="12.75">
      <c r="A23" s="380"/>
      <c r="B23" s="381">
        <v>3</v>
      </c>
      <c r="C23" s="382">
        <v>0.17777777777777778</v>
      </c>
      <c r="D23" s="392" t="str">
        <f>Team5</f>
        <v>AquaBots</v>
      </c>
      <c r="E23" s="393" t="str">
        <f>Team6</f>
        <v>Supersonic Turtles</v>
      </c>
    </row>
    <row r="24" spans="1:5" ht="12.75">
      <c r="A24" s="380"/>
      <c r="B24" s="381">
        <v>4</v>
      </c>
      <c r="C24" s="382">
        <v>0.18125</v>
      </c>
      <c r="D24" s="392" t="str">
        <f>Team7</f>
        <v>Rocking Robotics</v>
      </c>
      <c r="E24" s="393" t="str">
        <f>Team8</f>
        <v>Lego Stars</v>
      </c>
    </row>
    <row r="25" spans="1:5" ht="12.75">
      <c r="A25" s="380"/>
      <c r="B25" s="381">
        <v>5</v>
      </c>
      <c r="C25" s="382">
        <v>0.18472222222222223</v>
      </c>
      <c r="D25" s="392" t="str">
        <f>Team9</f>
        <v>SEABEES</v>
      </c>
      <c r="E25" s="393" t="str">
        <f>Team10</f>
        <v>Defy Gravity</v>
      </c>
    </row>
    <row r="26" spans="1:5" ht="13.5" thickBot="1">
      <c r="A26" s="383"/>
      <c r="B26" s="384">
        <v>6</v>
      </c>
      <c r="C26" s="385">
        <v>0.18819444444444444</v>
      </c>
      <c r="D26" s="394" t="str">
        <f>Team11</f>
        <v>LEGO Legends</v>
      </c>
      <c r="E26" s="395" t="str">
        <f>Team12</f>
        <v>DogBots</v>
      </c>
    </row>
    <row r="27" ht="12.75">
      <c r="A27" t="s">
        <v>136</v>
      </c>
    </row>
    <row r="28" ht="13.5" thickBot="1">
      <c r="A28" t="s">
        <v>136</v>
      </c>
    </row>
    <row r="29" spans="2:6" ht="27" thickBot="1">
      <c r="B29" s="351" t="s">
        <v>135</v>
      </c>
      <c r="C29" s="352"/>
      <c r="D29" s="352"/>
      <c r="E29" s="352"/>
      <c r="F29" s="353"/>
    </row>
    <row r="30" spans="2:6" ht="26.25" thickBot="1">
      <c r="B30" s="304" t="s">
        <v>267</v>
      </c>
      <c r="C30" s="305" t="s">
        <v>38</v>
      </c>
      <c r="D30" s="306" t="s">
        <v>268</v>
      </c>
      <c r="E30" s="306" t="s">
        <v>269</v>
      </c>
      <c r="F30" s="307" t="s">
        <v>270</v>
      </c>
    </row>
    <row r="31" spans="2:6" ht="12.75">
      <c r="B31" s="386">
        <v>1</v>
      </c>
      <c r="C31" s="387">
        <v>0.06944444444444443</v>
      </c>
      <c r="D31" s="390" t="str">
        <f>Team3</f>
        <v>Sea Cucumbers</v>
      </c>
      <c r="E31" s="390" t="str">
        <f>Team2</f>
        <v>Gadget Group</v>
      </c>
      <c r="F31" s="391" t="str">
        <f>Team10</f>
        <v>Defy Gravity</v>
      </c>
    </row>
    <row r="32" spans="2:6" ht="12.75">
      <c r="B32" s="388">
        <v>2</v>
      </c>
      <c r="C32" s="382">
        <v>0.0763888888888889</v>
      </c>
      <c r="D32" s="392" t="str">
        <f>Team1</f>
        <v>Tumbling Titanics</v>
      </c>
      <c r="E32" s="392" t="str">
        <f>Team3</f>
        <v>Sea Cucumbers</v>
      </c>
      <c r="F32" s="393" t="str">
        <f>Team8</f>
        <v>Lego Stars</v>
      </c>
    </row>
    <row r="33" spans="2:6" ht="12.75">
      <c r="B33" s="388">
        <v>3</v>
      </c>
      <c r="C33" s="382">
        <v>0.08333333333333333</v>
      </c>
      <c r="D33" s="392" t="str">
        <f>Team2</f>
        <v>Gadget Group</v>
      </c>
      <c r="E33" s="392" t="str">
        <f>Team1</f>
        <v>Tumbling Titanics</v>
      </c>
      <c r="F33" s="393" t="str">
        <f>Team11</f>
        <v>LEGO Legends</v>
      </c>
    </row>
    <row r="34" spans="2:6" ht="12.75">
      <c r="B34" s="388">
        <v>4</v>
      </c>
      <c r="C34" s="382">
        <v>0.09027777777777778</v>
      </c>
      <c r="D34" s="392" t="str">
        <f>Team4</f>
        <v>Lords of the Legos</v>
      </c>
      <c r="E34" s="392" t="str">
        <f>Team5</f>
        <v>AquaBots</v>
      </c>
      <c r="F34" s="393" t="str">
        <f>Team3</f>
        <v>Sea Cucumbers</v>
      </c>
    </row>
    <row r="35" spans="2:6" ht="12.75">
      <c r="B35" s="388">
        <v>5</v>
      </c>
      <c r="C35" s="382">
        <v>0.09722222222222222</v>
      </c>
      <c r="D35" s="392" t="str">
        <f>Team6</f>
        <v>Supersonic Turtles</v>
      </c>
      <c r="E35" s="392" t="str">
        <f>Team4</f>
        <v>Lords of the Legos</v>
      </c>
      <c r="F35" s="393" t="str">
        <f>Team7</f>
        <v>Rocking Robotics</v>
      </c>
    </row>
    <row r="36" spans="2:6" ht="12.75">
      <c r="B36" s="388">
        <v>6</v>
      </c>
      <c r="C36" s="382">
        <v>0.10416666666666667</v>
      </c>
      <c r="D36" s="392" t="str">
        <f>Team5</f>
        <v>AquaBots</v>
      </c>
      <c r="E36" s="392" t="str">
        <f>Team6</f>
        <v>Supersonic Turtles</v>
      </c>
      <c r="F36" s="393" t="str">
        <f>Team9</f>
        <v>SEABEES</v>
      </c>
    </row>
    <row r="37" spans="2:6" ht="12.75">
      <c r="B37" s="388">
        <v>7</v>
      </c>
      <c r="C37" s="382">
        <v>0.11805555555555557</v>
      </c>
      <c r="D37" s="392" t="str">
        <f>Team7</f>
        <v>Rocking Robotics</v>
      </c>
      <c r="E37" s="392" t="str">
        <f>Team8</f>
        <v>Lego Stars</v>
      </c>
      <c r="F37" s="393" t="str">
        <f>Team12</f>
        <v>DogBots</v>
      </c>
    </row>
    <row r="38" spans="2:6" ht="12.75">
      <c r="B38" s="388">
        <v>8</v>
      </c>
      <c r="C38" s="382">
        <v>0.125</v>
      </c>
      <c r="D38" s="392" t="str">
        <f>Team9</f>
        <v>SEABEES</v>
      </c>
      <c r="E38" s="392" t="str">
        <f>Team7</f>
        <v>Rocking Robotics</v>
      </c>
      <c r="F38" s="393" t="str">
        <f>Team6</f>
        <v>Supersonic Turtles</v>
      </c>
    </row>
    <row r="39" spans="2:6" ht="12.75">
      <c r="B39" s="388">
        <v>9</v>
      </c>
      <c r="C39" s="382">
        <v>0.13194444444444445</v>
      </c>
      <c r="D39" s="392" t="str">
        <f>Team8</f>
        <v>Lego Stars</v>
      </c>
      <c r="E39" s="392" t="str">
        <f>Team9</f>
        <v>SEABEES</v>
      </c>
      <c r="F39" s="393" t="str">
        <f>Team5</f>
        <v>AquaBots</v>
      </c>
    </row>
    <row r="40" spans="2:6" ht="12.75">
      <c r="B40" s="388">
        <v>10</v>
      </c>
      <c r="C40" s="382">
        <v>0.1388888888888889</v>
      </c>
      <c r="D40" s="392" t="str">
        <f>Team10</f>
        <v>Defy Gravity</v>
      </c>
      <c r="E40" s="392" t="str">
        <f>Team11</f>
        <v>LEGO Legends</v>
      </c>
      <c r="F40" s="393" t="str">
        <f>Team2</f>
        <v>Gadget Group</v>
      </c>
    </row>
    <row r="41" spans="2:6" ht="12.75">
      <c r="B41" s="388">
        <v>11</v>
      </c>
      <c r="C41" s="382">
        <v>0.14583333333333334</v>
      </c>
      <c r="D41" s="392" t="str">
        <f>Team12</f>
        <v>DogBots</v>
      </c>
      <c r="E41" s="392" t="str">
        <f>Team10</f>
        <v>Defy Gravity</v>
      </c>
      <c r="F41" s="393" t="str">
        <f>Team4</f>
        <v>Lords of the Legos</v>
      </c>
    </row>
    <row r="42" spans="2:6" ht="13.5" thickBot="1">
      <c r="B42" s="389">
        <v>12</v>
      </c>
      <c r="C42" s="385">
        <v>0.15277777777777776</v>
      </c>
      <c r="D42" s="394" t="str">
        <f>Team11</f>
        <v>LEGO Legends</v>
      </c>
      <c r="E42" s="394" t="str">
        <f>Team12</f>
        <v>DogBots</v>
      </c>
      <c r="F42" s="395" t="str">
        <f>Team1</f>
        <v>Tumbling Titanics</v>
      </c>
    </row>
  </sheetData>
  <mergeCells count="7">
    <mergeCell ref="A16:A20"/>
    <mergeCell ref="A21:A26"/>
    <mergeCell ref="B29:F29"/>
    <mergeCell ref="A1:E1"/>
    <mergeCell ref="A3:A6"/>
    <mergeCell ref="A7:A11"/>
    <mergeCell ref="A12:A1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1"/>
  <dimension ref="A1:F53"/>
  <sheetViews>
    <sheetView workbookViewId="0" topLeftCell="A1">
      <selection activeCell="D14" sqref="D14"/>
    </sheetView>
  </sheetViews>
  <sheetFormatPr defaultColWidth="9.140625" defaultRowHeight="12.75"/>
  <cols>
    <col min="1" max="1" width="10.140625" style="128" customWidth="1"/>
    <col min="2" max="2" width="13.140625" style="128" customWidth="1"/>
    <col min="3" max="3" width="19.00390625" style="128" customWidth="1"/>
    <col min="4" max="4" width="68.57421875" style="222" customWidth="1"/>
    <col min="5" max="5" width="15.421875" style="0" customWidth="1"/>
    <col min="6" max="6" width="40.140625" style="0" customWidth="1"/>
  </cols>
  <sheetData>
    <row r="1" spans="1:4" ht="12.75">
      <c r="A1" s="355" t="s">
        <v>141</v>
      </c>
      <c r="B1" s="355"/>
      <c r="C1" s="355"/>
      <c r="D1" s="355"/>
    </row>
    <row r="3" spans="1:5" ht="12.75">
      <c r="A3" s="129" t="s">
        <v>142</v>
      </c>
      <c r="B3" s="129" t="s">
        <v>143</v>
      </c>
      <c r="C3" s="129" t="s">
        <v>144</v>
      </c>
      <c r="D3" s="203" t="s">
        <v>145</v>
      </c>
      <c r="E3" s="129" t="s">
        <v>146</v>
      </c>
    </row>
    <row r="4" spans="1:3" ht="18">
      <c r="A4" s="354" t="s">
        <v>248</v>
      </c>
      <c r="B4" s="354"/>
      <c r="C4" s="354"/>
    </row>
    <row r="5" spans="2:6" ht="12.75">
      <c r="B5" s="228">
        <v>38611</v>
      </c>
      <c r="C5" s="229" t="s">
        <v>147</v>
      </c>
      <c r="D5" s="222" t="s">
        <v>148</v>
      </c>
      <c r="E5" t="s">
        <v>149</v>
      </c>
      <c r="F5" t="s">
        <v>150</v>
      </c>
    </row>
    <row r="6" spans="1:6" ht="25.5">
      <c r="A6" s="128">
        <v>2.1</v>
      </c>
      <c r="B6" s="228">
        <v>38619</v>
      </c>
      <c r="C6" s="229" t="s">
        <v>151</v>
      </c>
      <c r="D6" s="222" t="s">
        <v>152</v>
      </c>
      <c r="E6" t="s">
        <v>56</v>
      </c>
      <c r="F6" t="s">
        <v>153</v>
      </c>
    </row>
    <row r="7" spans="1:6" ht="12.75">
      <c r="A7" s="128">
        <v>2.2</v>
      </c>
      <c r="B7" s="228">
        <v>38626</v>
      </c>
      <c r="C7" s="128" t="s">
        <v>217</v>
      </c>
      <c r="D7" s="222" t="s">
        <v>218</v>
      </c>
      <c r="E7" t="s">
        <v>154</v>
      </c>
      <c r="F7" t="s">
        <v>155</v>
      </c>
    </row>
    <row r="8" spans="1:6" ht="25.5">
      <c r="A8" s="128">
        <v>2.3</v>
      </c>
      <c r="B8" s="228">
        <v>38633</v>
      </c>
      <c r="C8" s="257" t="s">
        <v>219</v>
      </c>
      <c r="D8" s="222" t="s">
        <v>220</v>
      </c>
      <c r="E8" t="s">
        <v>221</v>
      </c>
      <c r="F8" t="s">
        <v>155</v>
      </c>
    </row>
    <row r="9" spans="1:6" ht="25.5">
      <c r="A9" s="128">
        <v>2.4</v>
      </c>
      <c r="B9" s="228">
        <v>38639</v>
      </c>
      <c r="C9" s="257" t="s">
        <v>217</v>
      </c>
      <c r="D9" s="222" t="s">
        <v>277</v>
      </c>
      <c r="E9" t="s">
        <v>254</v>
      </c>
      <c r="F9" s="222" t="s">
        <v>255</v>
      </c>
    </row>
    <row r="10" spans="1:6" ht="25.5">
      <c r="A10" s="128">
        <v>2.5</v>
      </c>
      <c r="B10" s="228">
        <v>38656</v>
      </c>
      <c r="C10" s="257" t="s">
        <v>217</v>
      </c>
      <c r="D10" s="222" t="s">
        <v>249</v>
      </c>
      <c r="E10" t="s">
        <v>273</v>
      </c>
      <c r="F10" s="222" t="s">
        <v>274</v>
      </c>
    </row>
    <row r="11" spans="1:4" ht="12.75">
      <c r="A11" s="128">
        <v>2.6</v>
      </c>
      <c r="B11" s="228">
        <v>38660</v>
      </c>
      <c r="C11" s="257" t="s">
        <v>256</v>
      </c>
      <c r="D11" s="222" t="s">
        <v>257</v>
      </c>
    </row>
    <row r="12" spans="1:4" ht="12.75">
      <c r="A12" s="128">
        <v>2.7</v>
      </c>
      <c r="B12" s="228">
        <v>38661</v>
      </c>
      <c r="C12" s="257" t="s">
        <v>217</v>
      </c>
      <c r="D12" s="222" t="s">
        <v>261</v>
      </c>
    </row>
    <row r="13" spans="1:4" ht="12.75">
      <c r="A13" s="128">
        <v>2.8</v>
      </c>
      <c r="B13" s="228">
        <v>38662</v>
      </c>
      <c r="C13" s="257" t="s">
        <v>147</v>
      </c>
      <c r="D13" s="222" t="s">
        <v>262</v>
      </c>
    </row>
    <row r="14" spans="1:4" ht="25.5">
      <c r="A14" s="128">
        <v>2.9</v>
      </c>
      <c r="B14" s="228">
        <v>38662</v>
      </c>
      <c r="C14" s="257" t="s">
        <v>217</v>
      </c>
      <c r="D14" s="222" t="s">
        <v>271</v>
      </c>
    </row>
    <row r="15" spans="1:4" ht="25.5">
      <c r="A15" s="128">
        <v>2.1</v>
      </c>
      <c r="B15" s="228">
        <v>38663</v>
      </c>
      <c r="C15" s="257" t="s">
        <v>272</v>
      </c>
      <c r="D15" s="222" t="s">
        <v>275</v>
      </c>
    </row>
    <row r="16" ht="12.75" customHeight="1">
      <c r="B16" s="228"/>
    </row>
    <row r="17" spans="1:3" ht="18">
      <c r="A17" s="354" t="s">
        <v>156</v>
      </c>
      <c r="B17" s="354"/>
      <c r="C17" s="354"/>
    </row>
    <row r="18" spans="1:4" ht="12.75">
      <c r="A18" s="128">
        <v>1.1</v>
      </c>
      <c r="B18" s="228">
        <v>38261</v>
      </c>
      <c r="C18" s="229" t="s">
        <v>151</v>
      </c>
      <c r="D18" s="222" t="s">
        <v>157</v>
      </c>
    </row>
    <row r="19" spans="1:4" ht="12.75">
      <c r="A19" s="128">
        <v>1.2</v>
      </c>
      <c r="B19" s="228">
        <v>38261</v>
      </c>
      <c r="C19" s="128" t="s">
        <v>56</v>
      </c>
      <c r="D19" s="222" t="s">
        <v>158</v>
      </c>
    </row>
    <row r="20" spans="1:4" ht="28.5" customHeight="1">
      <c r="A20" s="128">
        <v>1.3</v>
      </c>
      <c r="B20" s="228">
        <v>38263</v>
      </c>
      <c r="C20" s="223" t="s">
        <v>159</v>
      </c>
      <c r="D20" s="222" t="s">
        <v>160</v>
      </c>
    </row>
    <row r="21" spans="1:4" ht="12" customHeight="1">
      <c r="A21" s="128">
        <v>1.4</v>
      </c>
      <c r="B21" s="228">
        <v>38267</v>
      </c>
      <c r="C21" s="128" t="s">
        <v>56</v>
      </c>
      <c r="D21" s="222" t="s">
        <v>161</v>
      </c>
    </row>
    <row r="22" spans="1:4" ht="12" customHeight="1">
      <c r="A22" s="128">
        <v>1.5</v>
      </c>
      <c r="B22" s="228">
        <v>38268</v>
      </c>
      <c r="C22" s="128" t="s">
        <v>56</v>
      </c>
      <c r="D22" s="222" t="s">
        <v>162</v>
      </c>
    </row>
    <row r="23" spans="1:4" ht="25.5" customHeight="1">
      <c r="A23" s="128">
        <v>1.6</v>
      </c>
      <c r="B23" s="228">
        <v>38268</v>
      </c>
      <c r="C23" s="128" t="s">
        <v>56</v>
      </c>
      <c r="D23" s="222" t="s">
        <v>163</v>
      </c>
    </row>
    <row r="24" spans="1:4" ht="38.25">
      <c r="A24" s="128">
        <v>1.7</v>
      </c>
      <c r="B24" s="228">
        <v>38269</v>
      </c>
      <c r="C24" s="128" t="s">
        <v>164</v>
      </c>
      <c r="D24" s="222" t="s">
        <v>165</v>
      </c>
    </row>
    <row r="25" spans="1:4" ht="25.5">
      <c r="A25" s="128">
        <v>1.8</v>
      </c>
      <c r="B25" s="228">
        <v>38269</v>
      </c>
      <c r="C25" s="229" t="s">
        <v>151</v>
      </c>
      <c r="D25" s="222" t="s">
        <v>166</v>
      </c>
    </row>
    <row r="26" spans="1:4" ht="12.75">
      <c r="A26" s="128">
        <v>1.9</v>
      </c>
      <c r="B26" s="228">
        <v>38276</v>
      </c>
      <c r="C26" s="128" t="s">
        <v>56</v>
      </c>
      <c r="D26" s="222" t="s">
        <v>167</v>
      </c>
    </row>
    <row r="27" spans="1:4" ht="25.5">
      <c r="A27" s="128" t="s">
        <v>168</v>
      </c>
      <c r="B27" s="228">
        <v>38277</v>
      </c>
      <c r="C27" s="128" t="s">
        <v>56</v>
      </c>
      <c r="D27" s="222" t="s">
        <v>169</v>
      </c>
    </row>
    <row r="28" spans="1:4" ht="12.75">
      <c r="A28" s="128">
        <v>1.11</v>
      </c>
      <c r="B28" s="228">
        <v>38297</v>
      </c>
      <c r="C28" s="128" t="s">
        <v>56</v>
      </c>
      <c r="D28" s="222" t="s">
        <v>170</v>
      </c>
    </row>
    <row r="29" spans="1:4" ht="12.75">
      <c r="A29" s="128">
        <v>1.12</v>
      </c>
      <c r="B29" s="228">
        <v>38302</v>
      </c>
      <c r="C29" s="128" t="s">
        <v>56</v>
      </c>
      <c r="D29" s="222" t="s">
        <v>171</v>
      </c>
    </row>
    <row r="30" spans="1:4" ht="12.75" customHeight="1">
      <c r="A30" s="128">
        <v>1.13</v>
      </c>
      <c r="B30" s="228">
        <v>38302</v>
      </c>
      <c r="C30" s="128" t="s">
        <v>56</v>
      </c>
      <c r="D30" s="222" t="s">
        <v>172</v>
      </c>
    </row>
    <row r="31" spans="1:4" ht="12.75" customHeight="1">
      <c r="A31" s="128">
        <v>1.14</v>
      </c>
      <c r="B31" s="228">
        <v>38302</v>
      </c>
      <c r="C31" s="128" t="s">
        <v>56</v>
      </c>
      <c r="D31" s="222" t="s">
        <v>173</v>
      </c>
    </row>
    <row r="32" spans="1:4" ht="12.75" customHeight="1">
      <c r="A32" s="128">
        <v>1.15</v>
      </c>
      <c r="B32" s="228">
        <v>38303</v>
      </c>
      <c r="C32" s="128" t="s">
        <v>56</v>
      </c>
      <c r="D32" s="222" t="s">
        <v>174</v>
      </c>
    </row>
    <row r="33" spans="1:4" ht="12.75">
      <c r="A33" s="128">
        <v>1.16</v>
      </c>
      <c r="B33" s="228">
        <v>38304</v>
      </c>
      <c r="C33" s="128" t="s">
        <v>56</v>
      </c>
      <c r="D33" s="222" t="s">
        <v>175</v>
      </c>
    </row>
    <row r="34" spans="1:4" ht="12.75">
      <c r="A34" s="128">
        <v>1.17</v>
      </c>
      <c r="B34" s="228">
        <v>38306</v>
      </c>
      <c r="C34" s="128" t="s">
        <v>56</v>
      </c>
      <c r="D34" s="222" t="s">
        <v>176</v>
      </c>
    </row>
    <row r="35" spans="1:6" ht="18">
      <c r="A35" s="227" t="s">
        <v>177</v>
      </c>
      <c r="B35" s="227"/>
      <c r="C35" s="227"/>
      <c r="E35" t="s">
        <v>178</v>
      </c>
      <c r="F35" t="s">
        <v>179</v>
      </c>
    </row>
    <row r="36" spans="1:6" ht="12.75">
      <c r="A36" s="128">
        <v>1.1</v>
      </c>
      <c r="B36" s="230">
        <v>37865</v>
      </c>
      <c r="C36" s="128" t="s">
        <v>178</v>
      </c>
      <c r="D36" s="222" t="s">
        <v>180</v>
      </c>
      <c r="E36" t="s">
        <v>181</v>
      </c>
      <c r="F36" t="s">
        <v>182</v>
      </c>
    </row>
    <row r="37" spans="1:6" ht="12.75">
      <c r="A37" s="128">
        <v>1.2</v>
      </c>
      <c r="C37" s="128" t="s">
        <v>181</v>
      </c>
      <c r="E37" t="s">
        <v>56</v>
      </c>
      <c r="F37" t="s">
        <v>153</v>
      </c>
    </row>
    <row r="38" spans="1:6" ht="12.75">
      <c r="A38" s="128">
        <v>1.3</v>
      </c>
      <c r="C38" s="128" t="s">
        <v>181</v>
      </c>
      <c r="E38" t="s">
        <v>183</v>
      </c>
      <c r="F38" t="s">
        <v>184</v>
      </c>
    </row>
    <row r="39" spans="1:6" ht="12.75">
      <c r="A39" s="128">
        <v>1.4</v>
      </c>
      <c r="B39" s="228">
        <v>37936</v>
      </c>
      <c r="C39" s="128" t="s">
        <v>181</v>
      </c>
      <c r="D39" s="222" t="s">
        <v>185</v>
      </c>
      <c r="E39" t="s">
        <v>186</v>
      </c>
      <c r="F39" t="s">
        <v>182</v>
      </c>
    </row>
    <row r="40" spans="1:6" ht="12.75">
      <c r="A40" s="128">
        <v>1.5</v>
      </c>
      <c r="B40" s="228">
        <v>37936</v>
      </c>
      <c r="C40" s="128" t="s">
        <v>181</v>
      </c>
      <c r="D40" s="222" t="s">
        <v>187</v>
      </c>
      <c r="E40" t="s">
        <v>154</v>
      </c>
      <c r="F40" t="s">
        <v>155</v>
      </c>
    </row>
    <row r="41" spans="1:4" ht="25.5">
      <c r="A41" s="128">
        <v>1.6</v>
      </c>
      <c r="B41" s="228">
        <v>37940</v>
      </c>
      <c r="C41" s="128" t="s">
        <v>56</v>
      </c>
      <c r="D41" s="222" t="s">
        <v>188</v>
      </c>
    </row>
    <row r="42" spans="1:4" ht="25.5">
      <c r="A42" s="128">
        <v>1.7</v>
      </c>
      <c r="B42" s="228">
        <v>37940</v>
      </c>
      <c r="C42" s="128" t="s">
        <v>56</v>
      </c>
      <c r="D42" s="222" t="s">
        <v>189</v>
      </c>
    </row>
    <row r="44" spans="1:3" ht="18">
      <c r="A44" s="354" t="s">
        <v>190</v>
      </c>
      <c r="B44" s="354"/>
      <c r="C44" s="354"/>
    </row>
    <row r="45" spans="2:4" ht="25.5">
      <c r="B45" s="228">
        <v>38268</v>
      </c>
      <c r="C45" s="128" t="s">
        <v>56</v>
      </c>
      <c r="D45" s="222" t="s">
        <v>191</v>
      </c>
    </row>
    <row r="46" spans="2:4" ht="38.25">
      <c r="B46" s="228">
        <v>38268</v>
      </c>
      <c r="C46" s="128" t="s">
        <v>56</v>
      </c>
      <c r="D46" s="222" t="s">
        <v>192</v>
      </c>
    </row>
    <row r="47" spans="2:4" ht="25.5">
      <c r="B47" s="228">
        <v>38269</v>
      </c>
      <c r="C47" s="128" t="s">
        <v>193</v>
      </c>
      <c r="D47" s="222" t="s">
        <v>194</v>
      </c>
    </row>
    <row r="48" spans="1:4" ht="33.75">
      <c r="A48" s="232" t="s">
        <v>195</v>
      </c>
      <c r="B48" s="228">
        <v>38269</v>
      </c>
      <c r="C48" s="128" t="s">
        <v>56</v>
      </c>
      <c r="D48" s="222" t="s">
        <v>196</v>
      </c>
    </row>
    <row r="50" spans="1:3" ht="18">
      <c r="A50" s="354" t="s">
        <v>197</v>
      </c>
      <c r="B50" s="354"/>
      <c r="C50" s="354"/>
    </row>
    <row r="51" spans="2:4" ht="63.75">
      <c r="B51" s="228">
        <v>38619</v>
      </c>
      <c r="C51" s="231" t="s">
        <v>151</v>
      </c>
      <c r="D51" s="203" t="s">
        <v>198</v>
      </c>
    </row>
    <row r="52" spans="2:4" ht="25.5">
      <c r="B52" s="228">
        <v>38619</v>
      </c>
      <c r="C52" s="128" t="s">
        <v>154</v>
      </c>
      <c r="D52" s="222" t="s">
        <v>199</v>
      </c>
    </row>
    <row r="53" spans="2:4" ht="38.25">
      <c r="B53" s="228">
        <v>38619</v>
      </c>
      <c r="C53" s="128" t="s">
        <v>154</v>
      </c>
      <c r="D53" s="222" t="s">
        <v>276</v>
      </c>
    </row>
  </sheetData>
  <mergeCells count="5">
    <mergeCell ref="A50:C50"/>
    <mergeCell ref="A1:D1"/>
    <mergeCell ref="A4:C4"/>
    <mergeCell ref="A17:C17"/>
    <mergeCell ref="A44:C4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GKA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Schuh</dc:creator>
  <cp:keywords/>
  <dc:description/>
  <cp:lastModifiedBy>Michael Schuh</cp:lastModifiedBy>
  <cp:lastPrinted>2005-11-08T04:32:21Z</cp:lastPrinted>
  <dcterms:created xsi:type="dcterms:W3CDTF">2004-10-02T00:08:20Z</dcterms:created>
  <dcterms:modified xsi:type="dcterms:W3CDTF">2005-11-08T04:36:49Z</dcterms:modified>
  <cp:category/>
  <cp:version/>
  <cp:contentType/>
  <cp:contentStatus/>
</cp:coreProperties>
</file>