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8420" windowHeight="10335" tabRatio="681" activeTab="1"/>
  </bookViews>
  <sheets>
    <sheet name="Score Details" sheetId="1" r:id="rId1"/>
    <sheet name="Score Summary" sheetId="2" r:id="rId2"/>
    <sheet name="Teams" sheetId="3" r:id="rId3"/>
    <sheet name="Score Entry" sheetId="4" r:id="rId4"/>
    <sheet name="Score List" sheetId="5" r:id="rId5"/>
    <sheet name="Scores by Team" sheetId="6" r:id="rId6"/>
    <sheet name="Match Schedule" sheetId="7" r:id="rId7"/>
    <sheet name="TeamsData" sheetId="8" r:id="rId8"/>
    <sheet name="Overprint Scoresheet" sheetId="9" r:id="rId9"/>
  </sheets>
  <definedNames>
    <definedName name="_xlnm._FilterDatabase" localSheetId="4" hidden="1">'Score List'!$A$1:$S$99</definedName>
    <definedName name="allscores">'Score Entry'!$I$5:$I$40</definedName>
    <definedName name="HTML_CodePage" hidden="1">1252</definedName>
    <definedName name="HTML_Control" localSheetId="6" hidden="1">{"'Score Display'!$B$1:$H$14"}</definedName>
    <definedName name="HTML_Control" localSheetId="0" hidden="1">{"'Score Display'!$B$1:$H$14"}</definedName>
    <definedName name="HTML_Control" hidden="1">{"'Score Display'!$B$1:$H$14"}</definedName>
    <definedName name="HTML_Description" hidden="1">""</definedName>
    <definedName name="HTML_Email" hidden="1">""</definedName>
    <definedName name="HTML_Header" hidden="1">"Dec 12 results"</definedName>
    <definedName name="HTML_LastUpdate" hidden="1">"12/14/04"</definedName>
    <definedName name="HTML_LineAfter" hidden="1">FALSE</definedName>
    <definedName name="HTML_LineBefore" hidden="1">FALSE</definedName>
    <definedName name="HTML_Name" hidden="1">"Steve Putz"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"C:\FLL\NCaFLL\2004\web pages\comcast\2004\paloalto\MyHTML.htm"</definedName>
    <definedName name="HTML_PathTemplate" hidden="1">"C:\FLL\NCaFLL\2004\Palo Alto 2004\scores-template.htm"</definedName>
    <definedName name="HTML_Title" hidden="1">"FLL2004-PaloAlto-Dec12_certified"</definedName>
    <definedName name="_xlnm.Print_Area" localSheetId="6">'Match Schedule'!$A$1:$K$36</definedName>
    <definedName name="_xlnm.Print_Area" localSheetId="8">'Overprint Scoresheet'!$C$2:$X$44</definedName>
    <definedName name="_xlnm.Print_Area" localSheetId="0">'Score Details'!$B$1:$U$49</definedName>
    <definedName name="_xlnm.Print_Area" localSheetId="3">'Score Entry'!$A$1:$AK$37</definedName>
    <definedName name="_xlnm.Print_Area" localSheetId="4">'Score List'!$A$1:$S$51</definedName>
    <definedName name="_xlnm.Print_Area" localSheetId="1">'Score Summary'!$A$1:$I$18</definedName>
    <definedName name="_xlnm.Print_Area" localSheetId="2">'Teams'!$A$1:$C$17</definedName>
    <definedName name="_xlnm.Print_Area" localSheetId="7">'TeamsData'!$A$1:$N$63</definedName>
    <definedName name="teamround">'Score Entry'!$AC$5:$AC$40</definedName>
  </definedNames>
  <calcPr fullCalcOnLoad="1"/>
</workbook>
</file>

<file path=xl/sharedStrings.xml><?xml version="1.0" encoding="utf-8"?>
<sst xmlns="http://schemas.openxmlformats.org/spreadsheetml/2006/main" count="519" uniqueCount="177">
  <si>
    <t>Good Bacteria</t>
  </si>
  <si>
    <t>Farm Fresh Produce</t>
  </si>
  <si>
    <t>Pest Removal</t>
  </si>
  <si>
    <t>Pizza and Ice Cream</t>
  </si>
  <si>
    <t>Fishing</t>
  </si>
  <si>
    <t>Disinfect</t>
  </si>
  <si>
    <t>Corn Harvest</t>
  </si>
  <si>
    <t>Pollution Reversal</t>
  </si>
  <si>
    <t>Distant Travel</t>
  </si>
  <si>
    <t>Groceries</t>
  </si>
  <si>
    <t>Cooking Time</t>
  </si>
  <si>
    <t>Storage Temperature</t>
  </si>
  <si>
    <t>Refrigerated Ground Transport</t>
  </si>
  <si>
    <t>Team Pit #:</t>
  </si>
  <si>
    <t>Timer - pointer in red zone</t>
  </si>
  <si>
    <t>Yellow truck in base</t>
  </si>
  <si>
    <t>Pizza/ice cream in base</t>
  </si>
  <si>
    <t>Rats in base</t>
  </si>
  <si>
    <t>Big fish in base</t>
  </si>
  <si>
    <t>Baby fish on mark</t>
  </si>
  <si>
    <t>Dispensers empty</t>
  </si>
  <si>
    <t>Bacteria on mat outside base</t>
  </si>
  <si>
    <t>Corn…</t>
  </si>
  <si>
    <t>Balls touching mat</t>
  </si>
  <si>
    <t>Robot touching East wall</t>
  </si>
  <si>
    <t>Grocery units on table</t>
  </si>
  <si>
    <t>Thermometer - low temp</t>
  </si>
  <si>
    <t>Bacteria in sink</t>
  </si>
  <si>
    <t>Tens digit:</t>
  </si>
  <si>
    <t>Ones digit:</t>
  </si>
  <si>
    <t>Virus in sink</t>
  </si>
  <si>
    <t>Big fish in trailer</t>
  </si>
  <si>
    <t>White trailer…</t>
  </si>
  <si>
    <t>Yellow Bacteria in Base</t>
  </si>
  <si>
    <t>Team Name:</t>
  </si>
  <si>
    <t>Score:</t>
  </si>
  <si>
    <t>Hand Wash - Bacteria</t>
  </si>
  <si>
    <t>Hand Wash - Virus</t>
  </si>
  <si>
    <t>10b</t>
  </si>
  <si>
    <t>10a</t>
  </si>
  <si>
    <t>Pit #</t>
  </si>
  <si>
    <t>FLL #</t>
  </si>
  <si>
    <t>Team Name</t>
  </si>
  <si>
    <t>Team Pit #</t>
  </si>
  <si>
    <t>Team Attempt</t>
  </si>
  <si>
    <t>SCORE</t>
  </si>
  <si>
    <t>Produce</t>
  </si>
  <si>
    <t>Pizza Ice Cream</t>
  </si>
  <si>
    <t>Pollution</t>
  </si>
  <si>
    <t>Trailer</t>
  </si>
  <si>
    <t>Sink Bacteria</t>
  </si>
  <si>
    <t>Sink Virus</t>
  </si>
  <si>
    <t>Temperature</t>
  </si>
  <si>
    <t>Timer</t>
  </si>
  <si>
    <t>Travel</t>
  </si>
  <si>
    <t>Pest Control</t>
  </si>
  <si>
    <t>round</t>
  </si>
  <si>
    <t>Pit</t>
  </si>
  <si>
    <t>High</t>
  </si>
  <si>
    <t>Rank</t>
  </si>
  <si>
    <t>Order</t>
  </si>
  <si>
    <t>comb2</t>
  </si>
  <si>
    <t>comb1</t>
  </si>
  <si>
    <t>NOTE: EDITING THIS WORKSHEET MAY BREAK THE SCORE DISPLAY PAGE, ETC.</t>
  </si>
  <si>
    <t>index</t>
  </si>
  <si>
    <t>Teams Ranked by High Score</t>
  </si>
  <si>
    <t>Round</t>
  </si>
  <si>
    <t>Score</t>
  </si>
  <si>
    <t>Teams</t>
  </si>
  <si>
    <t>Rounds</t>
  </si>
  <si>
    <t>Match</t>
  </si>
  <si>
    <t>Table</t>
  </si>
  <si>
    <t>A1</t>
  </si>
  <si>
    <t>A2</t>
  </si>
  <si>
    <t>B1</t>
  </si>
  <si>
    <t>B2</t>
  </si>
  <si>
    <t>40 Loyola SAPlings</t>
  </si>
  <si>
    <t>Fantastic Lego Legion</t>
  </si>
  <si>
    <t>Kung Food</t>
  </si>
  <si>
    <t>Lightning Bots</t>
  </si>
  <si>
    <t>Mat Scientists</t>
  </si>
  <si>
    <t>Robotic Ravioli</t>
  </si>
  <si>
    <t>The Other Team Again</t>
  </si>
  <si>
    <t>Hazardous Waste</t>
  </si>
  <si>
    <t>The Cyborgs</t>
  </si>
  <si>
    <t>MINITW</t>
  </si>
  <si>
    <t>Gears</t>
  </si>
  <si>
    <t>SAP0wer4</t>
  </si>
  <si>
    <t>Androids</t>
  </si>
  <si>
    <t>Alien Calamari</t>
  </si>
  <si>
    <t>Pieceful Programmers</t>
  </si>
  <si>
    <t>Extreme Kennedy</t>
  </si>
  <si>
    <t>Match #</t>
  </si>
  <si>
    <t>Time</t>
  </si>
  <si>
    <t>Pit#</t>
  </si>
  <si>
    <t>Team</t>
  </si>
  <si>
    <t>Practice</t>
  </si>
  <si>
    <t>P1</t>
  </si>
  <si>
    <t>P2</t>
  </si>
  <si>
    <t>P3</t>
  </si>
  <si>
    <t>P4</t>
  </si>
  <si>
    <t>T1 rnd</t>
  </si>
  <si>
    <t>T2 rnd</t>
  </si>
  <si>
    <t>score1</t>
  </si>
  <si>
    <t>score2</t>
  </si>
  <si>
    <t>A</t>
  </si>
  <si>
    <t>B</t>
  </si>
  <si>
    <t>C</t>
  </si>
  <si>
    <t>time1</t>
  </si>
  <si>
    <t>time2</t>
  </si>
  <si>
    <t>time3</t>
  </si>
  <si>
    <t>next up</t>
  </si>
  <si>
    <t>combined</t>
  </si>
  <si>
    <t>Now:</t>
  </si>
  <si>
    <t>Attempt</t>
  </si>
  <si>
    <t>Row</t>
  </si>
  <si>
    <t>Scheduled</t>
  </si>
  <si>
    <t>SCHEDULED</t>
  </si>
  <si>
    <t>Adroits</t>
  </si>
  <si>
    <t>6R1</t>
  </si>
  <si>
    <t>5R1</t>
  </si>
  <si>
    <t>7R1</t>
  </si>
  <si>
    <t>8R1</t>
  </si>
  <si>
    <t>10R1</t>
  </si>
  <si>
    <t>9R1</t>
  </si>
  <si>
    <t>12R1</t>
  </si>
  <si>
    <t>11R1</t>
  </si>
  <si>
    <t>13R1</t>
  </si>
  <si>
    <t>15R1</t>
  </si>
  <si>
    <t>14R1</t>
  </si>
  <si>
    <t>16R1</t>
  </si>
  <si>
    <t>5R2</t>
  </si>
  <si>
    <t>7R2</t>
  </si>
  <si>
    <t>6R2</t>
  </si>
  <si>
    <t>8R2</t>
  </si>
  <si>
    <t>9R2</t>
  </si>
  <si>
    <t>11R2</t>
  </si>
  <si>
    <t>12R2</t>
  </si>
  <si>
    <t>10R2</t>
  </si>
  <si>
    <t>15R2</t>
  </si>
  <si>
    <t>13R2</t>
  </si>
  <si>
    <t>2R1</t>
  </si>
  <si>
    <t>1R1</t>
  </si>
  <si>
    <t>4R1</t>
  </si>
  <si>
    <t>3R1</t>
  </si>
  <si>
    <t>9R3</t>
  </si>
  <si>
    <t>14R2</t>
  </si>
  <si>
    <t>16R2</t>
  </si>
  <si>
    <t>8R3</t>
  </si>
  <si>
    <t>11R3</t>
  </si>
  <si>
    <t>10R3</t>
  </si>
  <si>
    <t>4R2</t>
  </si>
  <si>
    <t>2R2</t>
  </si>
  <si>
    <t>1R2</t>
  </si>
  <si>
    <t>3R2</t>
  </si>
  <si>
    <t>15R3</t>
  </si>
  <si>
    <t>13R3</t>
  </si>
  <si>
    <t>16R3</t>
  </si>
  <si>
    <t>14R3</t>
  </si>
  <si>
    <t>12R3</t>
  </si>
  <si>
    <t>5R3</t>
  </si>
  <si>
    <t>6R3</t>
  </si>
  <si>
    <t>7R3</t>
  </si>
  <si>
    <t>1R3</t>
  </si>
  <si>
    <t>4R3</t>
  </si>
  <si>
    <t>2R3</t>
  </si>
  <si>
    <t>3R3</t>
  </si>
  <si>
    <t>Score List row 51: Team 3 Robotic Ravioli score #3: 133</t>
  </si>
  <si>
    <t>tag</t>
  </si>
  <si>
    <t>Max</t>
  </si>
  <si>
    <t>Truck (Produce)</t>
  </si>
  <si>
    <t>Awards</t>
  </si>
  <si>
    <t>Advancement</t>
  </si>
  <si>
    <r>
      <t>Robot Award</t>
    </r>
    <r>
      <rPr>
        <sz val="10"/>
        <rFont val="Arial"/>
        <family val="0"/>
      </rPr>
      <t>, Advancement</t>
    </r>
  </si>
  <si>
    <r>
      <t>Champion Award</t>
    </r>
    <r>
      <rPr>
        <sz val="10"/>
        <rFont val="Arial"/>
        <family val="0"/>
      </rPr>
      <t>, Advancement</t>
    </r>
  </si>
  <si>
    <r>
      <t>Core Values Award</t>
    </r>
    <r>
      <rPr>
        <sz val="10"/>
        <rFont val="Arial"/>
        <family val="0"/>
      </rPr>
      <t>, Advancement</t>
    </r>
  </si>
  <si>
    <r>
      <t>Project Award</t>
    </r>
    <r>
      <rPr>
        <sz val="10"/>
        <rFont val="Arial"/>
        <family val="0"/>
      </rPr>
      <t>, Advancement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</si>
</sst>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"/>
    <numFmt numFmtId="166" formatCode="0.00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0.000000000"/>
    <numFmt numFmtId="177" formatCode="[&lt;=9999999]###\-####;\(###\)\ ###\-####"/>
    <numFmt numFmtId="178" formatCode="[$-409]h:mm\ AM/PM;@"/>
    <numFmt numFmtId="179" formatCode="[$€-2]\ #,##0.00_);[Red]\([$€-2]\ #,##0.00\)"/>
    <numFmt numFmtId="180" formatCode="h:mm\ AM/PM;@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61"/>
      <name val="Verdana"/>
      <family val="0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Verdana"/>
      <family val="0"/>
    </font>
    <font>
      <u val="single"/>
      <sz val="17.5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name val="Verdana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24" borderId="1" applyNumberFormat="0" applyAlignment="0" applyProtection="0"/>
    <xf numFmtId="0" fontId="18" fillId="24" borderId="1" applyNumberFormat="0" applyAlignment="0" applyProtection="0"/>
    <xf numFmtId="0" fontId="4" fillId="24" borderId="1" applyNumberFormat="0" applyAlignment="0" applyProtection="0"/>
    <xf numFmtId="0" fontId="4" fillId="24" borderId="1" applyNumberFormat="0" applyAlignment="0" applyProtection="0"/>
    <xf numFmtId="0" fontId="4" fillId="24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1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1" applyNumberFormat="0" applyAlignment="0" applyProtection="0"/>
    <xf numFmtId="0" fontId="41" fillId="11" borderId="1" applyNumberFormat="0" applyAlignment="0" applyProtection="0"/>
    <xf numFmtId="0" fontId="42" fillId="11" borderId="1" applyNumberFormat="0" applyAlignment="0" applyProtection="0"/>
    <xf numFmtId="0" fontId="42" fillId="11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6" borderId="15" applyNumberFormat="0" applyFont="0" applyAlignment="0" applyProtection="0"/>
    <xf numFmtId="0" fontId="12" fillId="6" borderId="15" applyNumberFormat="0" applyFont="0" applyAlignment="0" applyProtection="0"/>
    <xf numFmtId="0" fontId="49" fillId="24" borderId="16" applyNumberFormat="0" applyAlignment="0" applyProtection="0"/>
    <xf numFmtId="0" fontId="49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7" borderId="0" xfId="0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0" fontId="0" fillId="27" borderId="20" xfId="0" applyFill="1" applyBorder="1" applyAlignment="1">
      <alignment/>
    </xf>
    <xf numFmtId="0" fontId="0" fillId="0" borderId="0" xfId="0" applyAlignment="1">
      <alignment horizontal="center"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1" fillId="24" borderId="24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0" fillId="24" borderId="0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0" fillId="24" borderId="26" xfId="0" applyFill="1" applyBorder="1" applyAlignment="1">
      <alignment/>
    </xf>
    <xf numFmtId="0" fontId="1" fillId="24" borderId="26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1" fillId="24" borderId="30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1" fillId="24" borderId="0" xfId="0" applyFont="1" applyFill="1" applyAlignment="1" quotePrefix="1">
      <alignment horizontal="right"/>
    </xf>
    <xf numFmtId="0" fontId="1" fillId="24" borderId="24" xfId="0" applyFont="1" applyFill="1" applyBorder="1" applyAlignment="1">
      <alignment/>
    </xf>
    <xf numFmtId="0" fontId="1" fillId="27" borderId="24" xfId="0" applyFont="1" applyFill="1" applyBorder="1" applyAlignment="1">
      <alignment/>
    </xf>
    <xf numFmtId="0" fontId="0" fillId="11" borderId="2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 locked="0"/>
    </xf>
    <xf numFmtId="0" fontId="0" fillId="9" borderId="0" xfId="0" applyFont="1" applyFill="1" applyBorder="1" applyAlignment="1" applyProtection="1">
      <alignment horizontal="right"/>
      <protection locked="0"/>
    </xf>
    <xf numFmtId="0" fontId="0" fillId="25" borderId="0" xfId="0" applyFont="1" applyFill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right"/>
      <protection locked="0"/>
    </xf>
    <xf numFmtId="0" fontId="0" fillId="9" borderId="0" xfId="0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0" fontId="0" fillId="25" borderId="0" xfId="0" applyFont="1" applyFill="1" applyAlignment="1" applyProtection="1">
      <alignment horizontal="right"/>
      <protection locked="0"/>
    </xf>
    <xf numFmtId="0" fontId="0" fillId="25" borderId="0" xfId="0" applyFill="1" applyAlignment="1" applyProtection="1">
      <alignment/>
      <protection locked="0"/>
    </xf>
    <xf numFmtId="0" fontId="3" fillId="24" borderId="0" xfId="0" applyFont="1" applyFill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vertical="top" textRotation="90"/>
    </xf>
    <xf numFmtId="0" fontId="5" fillId="25" borderId="33" xfId="0" applyFont="1" applyFill="1" applyBorder="1" applyAlignment="1">
      <alignment/>
    </xf>
    <xf numFmtId="0" fontId="5" fillId="25" borderId="34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35" xfId="0" applyFont="1" applyBorder="1" applyAlignment="1">
      <alignment/>
    </xf>
    <xf numFmtId="0" fontId="0" fillId="24" borderId="0" xfId="0" applyFill="1" applyAlignment="1">
      <alignment horizontal="right"/>
    </xf>
    <xf numFmtId="0" fontId="0" fillId="28" borderId="0" xfId="0" applyFill="1" applyAlignment="1" applyProtection="1">
      <alignment/>
      <protection locked="0"/>
    </xf>
    <xf numFmtId="0" fontId="1" fillId="0" borderId="24" xfId="0" applyFont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29" borderId="24" xfId="0" applyFont="1" applyFill="1" applyBorder="1" applyAlignment="1">
      <alignment horizontal="center"/>
    </xf>
    <xf numFmtId="0" fontId="0" fillId="27" borderId="24" xfId="0" applyFill="1" applyBorder="1" applyAlignment="1">
      <alignment/>
    </xf>
    <xf numFmtId="0" fontId="0" fillId="11" borderId="24" xfId="0" applyFill="1" applyBorder="1" applyAlignment="1">
      <alignment/>
    </xf>
    <xf numFmtId="0" fontId="0" fillId="25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24" xfId="0" applyBorder="1" applyAlignment="1">
      <alignment horizontal="center"/>
    </xf>
    <xf numFmtId="0" fontId="5" fillId="0" borderId="33" xfId="0" applyFont="1" applyFill="1" applyBorder="1" applyAlignment="1">
      <alignment/>
    </xf>
    <xf numFmtId="0" fontId="0" fillId="25" borderId="0" xfId="0" applyNumberFormat="1" applyFill="1" applyAlignment="1">
      <alignment/>
    </xf>
    <xf numFmtId="1" fontId="0" fillId="25" borderId="0" xfId="0" applyNumberFormat="1" applyFill="1" applyAlignment="1">
      <alignment/>
    </xf>
    <xf numFmtId="0" fontId="1" fillId="30" borderId="24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right" vertical="center"/>
    </xf>
    <xf numFmtId="18" fontId="1" fillId="27" borderId="22" xfId="0" applyNumberFormat="1" applyFont="1" applyFill="1" applyBorder="1" applyAlignment="1">
      <alignment horizontal="center" vertical="center"/>
    </xf>
    <xf numFmtId="0" fontId="6" fillId="30" borderId="3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10" fillId="30" borderId="33" xfId="0" applyFont="1" applyFill="1" applyBorder="1" applyAlignment="1">
      <alignment horizontal="center" vertical="center"/>
    </xf>
    <xf numFmtId="0" fontId="10" fillId="30" borderId="3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25" borderId="33" xfId="0" applyFont="1" applyFill="1" applyBorder="1" applyAlignment="1">
      <alignment horizontal="center"/>
    </xf>
    <xf numFmtId="0" fontId="1" fillId="25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5" borderId="24" xfId="0" applyFont="1" applyFill="1" applyBorder="1" applyAlignment="1">
      <alignment horizontal="center"/>
    </xf>
    <xf numFmtId="0" fontId="1" fillId="25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8" fontId="0" fillId="0" borderId="2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8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178" fontId="0" fillId="0" borderId="24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1" fillId="31" borderId="38" xfId="0" applyFont="1" applyFill="1" applyBorder="1" applyAlignment="1">
      <alignment horizontal="center"/>
    </xf>
    <xf numFmtId="0" fontId="1" fillId="31" borderId="39" xfId="0" applyFont="1" applyFill="1" applyBorder="1" applyAlignment="1">
      <alignment horizontal="center"/>
    </xf>
    <xf numFmtId="0" fontId="1" fillId="31" borderId="39" xfId="0" applyNumberFormat="1" applyFont="1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1" fillId="31" borderId="24" xfId="0" applyFont="1" applyFill="1" applyBorder="1" applyAlignment="1">
      <alignment horizontal="center"/>
    </xf>
    <xf numFmtId="0" fontId="1" fillId="31" borderId="41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8" fontId="0" fillId="0" borderId="24" xfId="0" applyNumberFormat="1" applyBorder="1" applyAlignment="1">
      <alignment/>
    </xf>
    <xf numFmtId="0" fontId="1" fillId="0" borderId="0" xfId="0" applyFont="1" applyAlignment="1">
      <alignment/>
    </xf>
    <xf numFmtId="18" fontId="0" fillId="25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27" borderId="24" xfId="0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45" xfId="0" applyBorder="1" applyAlignment="1">
      <alignment/>
    </xf>
    <xf numFmtId="0" fontId="57" fillId="0" borderId="24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0" fillId="0" borderId="42" xfId="0" applyBorder="1" applyAlignment="1">
      <alignment/>
    </xf>
    <xf numFmtId="0" fontId="57" fillId="0" borderId="42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0" borderId="49" xfId="0" applyFont="1" applyBorder="1" applyAlignment="1">
      <alignment horizontal="center"/>
    </xf>
    <xf numFmtId="0" fontId="57" fillId="0" borderId="49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4" xfId="0" applyFont="1" applyBorder="1" applyAlignment="1">
      <alignment horizontal="center" textRotation="90"/>
    </xf>
    <xf numFmtId="0" fontId="5" fillId="0" borderId="32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3" xfId="0" applyFont="1" applyBorder="1" applyAlignment="1">
      <alignment horizontal="center" textRotation="90"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57" fillId="0" borderId="3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0" fillId="0" borderId="24" xfId="0" applyFont="1" applyBorder="1" applyAlignment="1">
      <alignment horizontal="center" textRotation="90"/>
    </xf>
    <xf numFmtId="0" fontId="5" fillId="0" borderId="42" xfId="0" applyFont="1" applyBorder="1" applyAlignment="1">
      <alignment/>
    </xf>
    <xf numFmtId="0" fontId="5" fillId="0" borderId="49" xfId="0" applyFont="1" applyBorder="1" applyAlignment="1">
      <alignment/>
    </xf>
    <xf numFmtId="0" fontId="57" fillId="0" borderId="42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9" fillId="30" borderId="35" xfId="0" applyFont="1" applyFill="1" applyBorder="1" applyAlignment="1">
      <alignment horizontal="center" vertical="center"/>
    </xf>
    <xf numFmtId="0" fontId="0" fillId="30" borderId="33" xfId="0" applyFill="1" applyBorder="1" applyAlignment="1">
      <alignment/>
    </xf>
    <xf numFmtId="0" fontId="9" fillId="30" borderId="35" xfId="0" applyFont="1" applyFill="1" applyBorder="1" applyAlignment="1">
      <alignment/>
    </xf>
    <xf numFmtId="0" fontId="1" fillId="0" borderId="24" xfId="0" applyFont="1" applyBorder="1" applyAlignment="1">
      <alignment/>
    </xf>
    <xf numFmtId="0" fontId="6" fillId="30" borderId="33" xfId="0" applyFont="1" applyFill="1" applyBorder="1" applyAlignment="1">
      <alignment horizontal="center" vertical="center"/>
    </xf>
    <xf numFmtId="0" fontId="6" fillId="30" borderId="35" xfId="0" applyFont="1" applyFill="1" applyBorder="1" applyAlignment="1">
      <alignment horizontal="center" vertical="center"/>
    </xf>
    <xf numFmtId="0" fontId="6" fillId="30" borderId="25" xfId="0" applyFont="1" applyFill="1" applyBorder="1" applyAlignment="1">
      <alignment horizontal="center" vertical="center"/>
    </xf>
  </cellXfs>
  <cellStyles count="278">
    <cellStyle name="Normal" xfId="0"/>
    <cellStyle name="20% - Accent1" xfId="15"/>
    <cellStyle name="20% - Accent1_08-09 SCORING-logplus-v2-los-altos-scrimmage" xfId="16"/>
    <cellStyle name="20% - Accent1_2009-LosAltos-Scrimmage-Scoring" xfId="17"/>
    <cellStyle name="20% - Accent1_2009-LosAltos-Scrimmage-Scoring-Final" xfId="18"/>
    <cellStyle name="20% - Accent1_2010-LosAltos-Scrimmage-Scoring" xfId="19"/>
    <cellStyle name="20% - Accent1_FLL-Body-Forward-Score-Sheet-Excel-EN" xfId="20"/>
    <cellStyle name="20% - Accent1_ScrimmageVolunteers" xfId="21"/>
    <cellStyle name="20% - Accent2" xfId="22"/>
    <cellStyle name="20% - Accent2_08-09 SCORING-logplus-v2-los-altos-scrimmage" xfId="23"/>
    <cellStyle name="20% - Accent2_2009-LosAltos-Scrimmage-Scoring" xfId="24"/>
    <cellStyle name="20% - Accent2_2009-LosAltos-Scrimmage-Scoring-Final" xfId="25"/>
    <cellStyle name="20% - Accent2_2010-LosAltos-Scrimmage-Scoring" xfId="26"/>
    <cellStyle name="20% - Accent2_FLL-Body-Forward-Score-Sheet-Excel-EN" xfId="27"/>
    <cellStyle name="20% - Accent2_ScrimmageVolunteers" xfId="28"/>
    <cellStyle name="20% - Accent3" xfId="29"/>
    <cellStyle name="20% - Accent3_08-09 SCORING-logplus-v2-los-altos-scrimmage" xfId="30"/>
    <cellStyle name="20% - Accent3_2009-LosAltos-Scrimmage-Scoring" xfId="31"/>
    <cellStyle name="20% - Accent3_2009-LosAltos-Scrimmage-Scoring-Final" xfId="32"/>
    <cellStyle name="20% - Accent3_2010-LosAltos-Scrimmage-Scoring" xfId="33"/>
    <cellStyle name="20% - Accent3_FLL-Body-Forward-Score-Sheet-Excel-EN" xfId="34"/>
    <cellStyle name="20% - Accent3_ScrimmageVolunteers" xfId="35"/>
    <cellStyle name="20% - Accent4" xfId="36"/>
    <cellStyle name="20% - Accent4_08-09 SCORING-logplus-v2-los-altos-scrimmage" xfId="37"/>
    <cellStyle name="20% - Accent4_2009-LosAltos-Scrimmage-Scoring" xfId="38"/>
    <cellStyle name="20% - Accent4_2009-LosAltos-Scrimmage-Scoring-Final" xfId="39"/>
    <cellStyle name="20% - Accent4_2010-LosAltos-Scrimmage-Scoring" xfId="40"/>
    <cellStyle name="20% - Accent4_FLL-Body-Forward-Score-Sheet-Excel-EN" xfId="41"/>
    <cellStyle name="20% - Accent4_ScrimmageVolunteers" xfId="42"/>
    <cellStyle name="20% - Accent5" xfId="43"/>
    <cellStyle name="20% - Accent5_08-09 SCORING-logplus-v2-los-altos-scrimmage" xfId="44"/>
    <cellStyle name="20% - Accent5_2009-LosAltos-Scrimmage-Scoring" xfId="45"/>
    <cellStyle name="20% - Accent5_2009-LosAltos-Scrimmage-Scoring-Final" xfId="46"/>
    <cellStyle name="20% - Accent5_2010-LosAltos-Scrimmage-Scoring" xfId="47"/>
    <cellStyle name="20% - Accent5_FLL-Body-Forward-Score-Sheet-Excel-EN" xfId="48"/>
    <cellStyle name="20% - Accent6" xfId="49"/>
    <cellStyle name="20% - Accent6_08-09 SCORING-logplus-v2-los-altos-scrimmage" xfId="50"/>
    <cellStyle name="20% - Accent6_2009-LosAltos-Scrimmage-Scoring" xfId="51"/>
    <cellStyle name="20% - Accent6_2009-LosAltos-Scrimmage-Scoring-Final" xfId="52"/>
    <cellStyle name="20% - Accent6_2010-LosAltos-Scrimmage-Scoring" xfId="53"/>
    <cellStyle name="20% - Accent6_FLL-Body-Forward-Score-Sheet-Excel-EN" xfId="54"/>
    <cellStyle name="20% - Accent6_ScrimmageVolunteers" xfId="55"/>
    <cellStyle name="40% - Accent1" xfId="56"/>
    <cellStyle name="40% - Accent1_08-09 SCORING-logplus-v2-los-altos-scrimmage" xfId="57"/>
    <cellStyle name="40% - Accent1_2009-LosAltos-Scrimmage-Scoring" xfId="58"/>
    <cellStyle name="40% - Accent1_2009-LosAltos-Scrimmage-Scoring-Final" xfId="59"/>
    <cellStyle name="40% - Accent1_2010-LosAltos-Scrimmage-Scoring" xfId="60"/>
    <cellStyle name="40% - Accent1_FLL-Body-Forward-Score-Sheet-Excel-EN" xfId="61"/>
    <cellStyle name="40% - Accent1_ScrimmageVolunteers" xfId="62"/>
    <cellStyle name="40% - Accent2" xfId="63"/>
    <cellStyle name="40% - Accent2_08-09 SCORING-logplus-v2-los-altos-scrimmage" xfId="64"/>
    <cellStyle name="40% - Accent2_2009-LosAltos-Scrimmage-Scoring" xfId="65"/>
    <cellStyle name="40% - Accent2_2009-LosAltos-Scrimmage-Scoring-Final" xfId="66"/>
    <cellStyle name="40% - Accent2_2010-LosAltos-Scrimmage-Scoring" xfId="67"/>
    <cellStyle name="40% - Accent2_FLL-Body-Forward-Score-Sheet-Excel-EN" xfId="68"/>
    <cellStyle name="40% - Accent3" xfId="69"/>
    <cellStyle name="40% - Accent3_08-09 SCORING-logplus-v2-los-altos-scrimmage" xfId="70"/>
    <cellStyle name="40% - Accent3_2009-LosAltos-Scrimmage-Scoring" xfId="71"/>
    <cellStyle name="40% - Accent3_2009-LosAltos-Scrimmage-Scoring-Final" xfId="72"/>
    <cellStyle name="40% - Accent3_2010-LosAltos-Scrimmage-Scoring" xfId="73"/>
    <cellStyle name="40% - Accent3_FLL-Body-Forward-Score-Sheet-Excel-EN" xfId="74"/>
    <cellStyle name="40% - Accent3_ScrimmageVolunteers" xfId="75"/>
    <cellStyle name="40% - Accent4" xfId="76"/>
    <cellStyle name="40% - Accent4_08-09 SCORING-logplus-v2-los-altos-scrimmage" xfId="77"/>
    <cellStyle name="40% - Accent4_2009-LosAltos-Scrimmage-Scoring" xfId="78"/>
    <cellStyle name="40% - Accent4_2009-LosAltos-Scrimmage-Scoring-Final" xfId="79"/>
    <cellStyle name="40% - Accent4_2010-LosAltos-Scrimmage-Scoring" xfId="80"/>
    <cellStyle name="40% - Accent4_FLL-Body-Forward-Score-Sheet-Excel-EN" xfId="81"/>
    <cellStyle name="40% - Accent4_ScrimmageVolunteers" xfId="82"/>
    <cellStyle name="40% - Accent5" xfId="83"/>
    <cellStyle name="40% - Accent5_08-09 SCORING-logplus-v2-los-altos-scrimmage" xfId="84"/>
    <cellStyle name="40% - Accent5_2009-LosAltos-Scrimmage-Scoring" xfId="85"/>
    <cellStyle name="40% - Accent5_2009-LosAltos-Scrimmage-Scoring-Final" xfId="86"/>
    <cellStyle name="40% - Accent5_2010-LosAltos-Scrimmage-Scoring" xfId="87"/>
    <cellStyle name="40% - Accent5_FLL-Body-Forward-Score-Sheet-Excel-EN" xfId="88"/>
    <cellStyle name="40% - Accent5_ScrimmageVolunteers" xfId="89"/>
    <cellStyle name="40% - Accent6" xfId="90"/>
    <cellStyle name="40% - Accent6_08-09 SCORING-logplus-v2-los-altos-scrimmage" xfId="91"/>
    <cellStyle name="40% - Accent6_2009-LosAltos-Scrimmage-Scoring" xfId="92"/>
    <cellStyle name="40% - Accent6_2009-LosAltos-Scrimmage-Scoring-Final" xfId="93"/>
    <cellStyle name="40% - Accent6_2010-LosAltos-Scrimmage-Scoring" xfId="94"/>
    <cellStyle name="40% - Accent6_FLL-Body-Forward-Score-Sheet-Excel-EN" xfId="95"/>
    <cellStyle name="40% - Accent6_ScrimmageVolunteers" xfId="96"/>
    <cellStyle name="60% - Accent1" xfId="97"/>
    <cellStyle name="60% - Accent1_08-09 SCORING-logplus-v2-los-altos-scrimmage" xfId="98"/>
    <cellStyle name="60% - Accent1_2009-LosAltos-Scrimmage-Scoring-Final" xfId="99"/>
    <cellStyle name="60% - Accent1_2010-LosAltos-Scrimmage-Scoring" xfId="100"/>
    <cellStyle name="60% - Accent1_FLL-Body-Forward-Score-Sheet-Excel-EN" xfId="101"/>
    <cellStyle name="60% - Accent1_ScrimmageVolunteers" xfId="102"/>
    <cellStyle name="60% - Accent2" xfId="103"/>
    <cellStyle name="60% - Accent2_08-09 SCORING-logplus-v2-los-altos-scrimmage" xfId="104"/>
    <cellStyle name="60% - Accent2_2009-LosAltos-Scrimmage-Scoring-Final" xfId="105"/>
    <cellStyle name="60% - Accent2_2010-LosAltos-Scrimmage-Scoring" xfId="106"/>
    <cellStyle name="60% - Accent2_FLL-Body-Forward-Score-Sheet-Excel-EN" xfId="107"/>
    <cellStyle name="60% - Accent2_ScrimmageVolunteers" xfId="108"/>
    <cellStyle name="60% - Accent3" xfId="109"/>
    <cellStyle name="60% - Accent3_08-09 SCORING-logplus-v2-los-altos-scrimmage" xfId="110"/>
    <cellStyle name="60% - Accent3_2009-LosAltos-Scrimmage-Scoring-Final" xfId="111"/>
    <cellStyle name="60% - Accent3_2010-LosAltos-Scrimmage-Scoring" xfId="112"/>
    <cellStyle name="60% - Accent3_FLL-Body-Forward-Score-Sheet-Excel-EN" xfId="113"/>
    <cellStyle name="60% - Accent3_ScrimmageVolunteers" xfId="114"/>
    <cellStyle name="60% - Accent4" xfId="115"/>
    <cellStyle name="60% - Accent4_08-09 SCORING-logplus-v2-los-altos-scrimmage" xfId="116"/>
    <cellStyle name="60% - Accent4_2009-LosAltos-Scrimmage-Scoring-Final" xfId="117"/>
    <cellStyle name="60% - Accent4_2010-LosAltos-Scrimmage-Scoring" xfId="118"/>
    <cellStyle name="60% - Accent4_FLL-Body-Forward-Score-Sheet-Excel-EN" xfId="119"/>
    <cellStyle name="60% - Accent4_ScrimmageVolunteers" xfId="120"/>
    <cellStyle name="60% - Accent5" xfId="121"/>
    <cellStyle name="60% - Accent5_08-09 SCORING-logplus-v2-los-altos-scrimmage" xfId="122"/>
    <cellStyle name="60% - Accent5_2009-LosAltos-Scrimmage-Scoring-Final" xfId="123"/>
    <cellStyle name="60% - Accent5_2010-LosAltos-Scrimmage-Scoring" xfId="124"/>
    <cellStyle name="60% - Accent5_FLL-Body-Forward-Score-Sheet-Excel-EN" xfId="125"/>
    <cellStyle name="60% - Accent5_ScrimmageVolunteers" xfId="126"/>
    <cellStyle name="60% - Accent6" xfId="127"/>
    <cellStyle name="60% - Accent6_08-09 SCORING-logplus-v2-los-altos-scrimmage" xfId="128"/>
    <cellStyle name="60% - Accent6_2009-LosAltos-Scrimmage-Scoring-Final" xfId="129"/>
    <cellStyle name="60% - Accent6_2010-LosAltos-Scrimmage-Scoring" xfId="130"/>
    <cellStyle name="60% - Accent6_FLL-Body-Forward-Score-Sheet-Excel-EN" xfId="131"/>
    <cellStyle name="60% - Accent6_ScrimmageVolunteers" xfId="132"/>
    <cellStyle name="Accent1" xfId="133"/>
    <cellStyle name="Accent1_08-09 SCORING-logplus-v2-los-altos-scrimmage" xfId="134"/>
    <cellStyle name="Accent1_2009-LosAltos-Scrimmage-Scoring-Final" xfId="135"/>
    <cellStyle name="Accent1_2010-LosAltos-Scrimmage-Scoring" xfId="136"/>
    <cellStyle name="Accent1_FLL-Body-Forward-Score-Sheet-Excel-EN" xfId="137"/>
    <cellStyle name="Accent1_ScrimmageVolunteers" xfId="138"/>
    <cellStyle name="Accent2" xfId="139"/>
    <cellStyle name="Accent2_08-09 SCORING-logplus-v2-los-altos-scrimmage" xfId="140"/>
    <cellStyle name="Accent2_2009-LosAltos-Scrimmage-Scoring-Final" xfId="141"/>
    <cellStyle name="Accent2_2010-LosAltos-Scrimmage-Scoring" xfId="142"/>
    <cellStyle name="Accent2_FLL-Body-Forward-Score-Sheet-Excel-EN" xfId="143"/>
    <cellStyle name="Accent2_ScrimmageVolunteers" xfId="144"/>
    <cellStyle name="Accent3" xfId="145"/>
    <cellStyle name="Accent3_08-09 SCORING-logplus-v2-los-altos-scrimmage" xfId="146"/>
    <cellStyle name="Accent3_2009-LosAltos-Scrimmage-Scoring-Final" xfId="147"/>
    <cellStyle name="Accent3_2010-LosAltos-Scrimmage-Scoring" xfId="148"/>
    <cellStyle name="Accent3_FLL-Body-Forward-Score-Sheet-Excel-EN" xfId="149"/>
    <cellStyle name="Accent3_ScrimmageVolunteers" xfId="150"/>
    <cellStyle name="Accent4" xfId="151"/>
    <cellStyle name="Accent4_08-09 SCORING-logplus-v2-los-altos-scrimmage" xfId="152"/>
    <cellStyle name="Accent4_2009-LosAltos-Scrimmage-Scoring-Final" xfId="153"/>
    <cellStyle name="Accent4_2010-LosAltos-Scrimmage-Scoring" xfId="154"/>
    <cellStyle name="Accent4_FLL-Body-Forward-Score-Sheet-Excel-EN" xfId="155"/>
    <cellStyle name="Accent4_ScrimmageVolunteers" xfId="156"/>
    <cellStyle name="Accent5" xfId="157"/>
    <cellStyle name="Accent5_08-09 SCORING-logplus-v2-los-altos-scrimmage" xfId="158"/>
    <cellStyle name="Accent5_2009-LosAltos-Scrimmage-Scoring-Final" xfId="159"/>
    <cellStyle name="Accent5_2010-LosAltos-Scrimmage-Scoring" xfId="160"/>
    <cellStyle name="Accent5_FLL-Body-Forward-Score-Sheet-Excel-EN" xfId="161"/>
    <cellStyle name="Accent6" xfId="162"/>
    <cellStyle name="Accent6_08-09 SCORING-logplus-v2-los-altos-scrimmage" xfId="163"/>
    <cellStyle name="Accent6_2009-LosAltos-Scrimmage-Scoring-Final" xfId="164"/>
    <cellStyle name="Accent6_2010-LosAltos-Scrimmage-Scoring" xfId="165"/>
    <cellStyle name="Accent6_FLL-Body-Forward-Score-Sheet-Excel-EN" xfId="166"/>
    <cellStyle name="Accent6_ScrimmageVolunteers" xfId="167"/>
    <cellStyle name="Bad" xfId="168"/>
    <cellStyle name="Bad_08-09 SCORING-logplus-v2-los-altos-scrimmage" xfId="169"/>
    <cellStyle name="Bad_2009-LosAltos-Scrimmage-Scoring-Final" xfId="170"/>
    <cellStyle name="Bad_2010-LosAltos-Scrimmage-Scoring" xfId="171"/>
    <cellStyle name="Bad_FLL-Body-Forward-Score-Sheet-Excel-EN" xfId="172"/>
    <cellStyle name="Bad_ScrimmageVolunteers" xfId="173"/>
    <cellStyle name="Calculation" xfId="174"/>
    <cellStyle name="Calculation_08-09 SCORING-logplus-v2-los-altos-scrimmage" xfId="175"/>
    <cellStyle name="Calculation_2009-LosAltos-Scrimmage-Scoring" xfId="176"/>
    <cellStyle name="Calculation_2009-LosAltos-Scrimmage-Scoring-Final" xfId="177"/>
    <cellStyle name="Calculation_2010-LosAltos-Scrimmage-Scoring" xfId="178"/>
    <cellStyle name="Calculation_FLL-Body-Forward-Score-Sheet-Excel-EN" xfId="179"/>
    <cellStyle name="Calculation_ScrimmageVolunteers" xfId="180"/>
    <cellStyle name="Check Cell" xfId="181"/>
    <cellStyle name="Check Cell_08-09 SCORING-logplus-v2-los-altos-scrimmage" xfId="182"/>
    <cellStyle name="Check Cell_2009-LosAltos-Scrimmage-Scoring" xfId="183"/>
    <cellStyle name="Check Cell_2009-LosAltos-Scrimmage-Scoring-Final" xfId="184"/>
    <cellStyle name="Check Cell_2010-LosAltos-Scrimmage-Scoring" xfId="185"/>
    <cellStyle name="Check Cell_FLL-Body-Forward-Score-Sheet-Excel-EN" xfId="186"/>
    <cellStyle name="Check Cell_ScrimmageVolunteers" xfId="187"/>
    <cellStyle name="Comma" xfId="188"/>
    <cellStyle name="Comma [0]" xfId="189"/>
    <cellStyle name="Currency" xfId="190"/>
    <cellStyle name="Currency [0]" xfId="191"/>
    <cellStyle name="Explanatory Text" xfId="192"/>
    <cellStyle name="Explanatory Text_08-09 SCORING-logplus-v2-los-altos-scrimmage" xfId="193"/>
    <cellStyle name="Explanatory Text_2009-LosAltos-Scrimmage-Scoring-Final" xfId="194"/>
    <cellStyle name="Explanatory Text_2010-LosAltos-Scrimmage-Scoring" xfId="195"/>
    <cellStyle name="Explanatory Text_FLL-Body-Forward-Score-Sheet-Excel-EN" xfId="196"/>
    <cellStyle name="Followed Hyperlink" xfId="197"/>
    <cellStyle name="Followed Hyperlink_2007Dec9-Planning" xfId="198"/>
    <cellStyle name="Followed Hyperlink_FLL 2006 Dec 10 Nueva_final" xfId="199"/>
    <cellStyle name="Followed Hyperlink_FLL Power Puzzle Scoring Worksheet-SBP1" xfId="200"/>
    <cellStyle name="Followed Hyperlink_FLL-Body-Forward-Score-Sheet-Excel-EN" xfId="201"/>
    <cellStyle name="Good" xfId="202"/>
    <cellStyle name="Good_08-09 SCORING-logplus-v2-los-altos-scrimmage" xfId="203"/>
    <cellStyle name="Good_2009-LosAltos-Scrimmage-Scoring-Final" xfId="204"/>
    <cellStyle name="Good_2010-LosAltos-Scrimmage-Scoring" xfId="205"/>
    <cellStyle name="Good_FLL-Body-Forward-Score-Sheet-Excel-EN" xfId="206"/>
    <cellStyle name="Good_ScrimmageVolunteers" xfId="207"/>
    <cellStyle name="Heading 1" xfId="208"/>
    <cellStyle name="Heading 1_08-09 SCORING-logplus-v2-los-altos-scrimmage" xfId="209"/>
    <cellStyle name="Heading 1_2009-LosAltos-Scrimmage-Scoring-Final" xfId="210"/>
    <cellStyle name="Heading 1_2010-LosAltos-Scrimmage-Scoring" xfId="211"/>
    <cellStyle name="Heading 1_FLL-Body-Forward-Score-Sheet-Excel-EN" xfId="212"/>
    <cellStyle name="Heading 1_ScrimmageVolunteers" xfId="213"/>
    <cellStyle name="Heading 2" xfId="214"/>
    <cellStyle name="Heading 2_08-09 SCORING-logplus-v2-los-altos-scrimmage" xfId="215"/>
    <cellStyle name="Heading 2_2009-LosAltos-Scrimmage-Scoring-Final" xfId="216"/>
    <cellStyle name="Heading 2_2010-LosAltos-Scrimmage-Scoring" xfId="217"/>
    <cellStyle name="Heading 2_FLL-Body-Forward-Score-Sheet-Excel-EN" xfId="218"/>
    <cellStyle name="Heading 2_ScrimmageVolunteers" xfId="219"/>
    <cellStyle name="Heading 3" xfId="220"/>
    <cellStyle name="Heading 3_08-09 SCORING-logplus-v2-los-altos-scrimmage" xfId="221"/>
    <cellStyle name="Heading 3_2009-LosAltos-Scrimmage-Scoring-Final" xfId="222"/>
    <cellStyle name="Heading 3_2010-LosAltos-Scrimmage-Scoring" xfId="223"/>
    <cellStyle name="Heading 3_FLL-Body-Forward-Score-Sheet-Excel-EN" xfId="224"/>
    <cellStyle name="Heading 3_ScrimmageVolunteers" xfId="225"/>
    <cellStyle name="Heading 4" xfId="226"/>
    <cellStyle name="Heading 4_08-09 SCORING-logplus-v2-los-altos-scrimmage" xfId="227"/>
    <cellStyle name="Heading 4_2009-LosAltos-Scrimmage-Scoring-Final" xfId="228"/>
    <cellStyle name="Heading 4_2010-LosAltos-Scrimmage-Scoring" xfId="229"/>
    <cellStyle name="Heading 4_FLL-Body-Forward-Score-Sheet-Excel-EN" xfId="230"/>
    <cellStyle name="Heading 4_ScrimmageVolunteers" xfId="231"/>
    <cellStyle name="Hyperlink" xfId="232"/>
    <cellStyle name="Hyperlink_08-09 SCORING-logplus-v2-los-altos-scrimmage" xfId="233"/>
    <cellStyle name="Hyperlink_2007Dec9-Planning" xfId="234"/>
    <cellStyle name="Hyperlink_2009-LosAltos-Scrimmage-Scoring-Final" xfId="235"/>
    <cellStyle name="Hyperlink_2010-LosAltos-Scrimmage-Scoring" xfId="236"/>
    <cellStyle name="Hyperlink_FLL 2006 Dec 10 Nueva_final" xfId="237"/>
    <cellStyle name="Hyperlink_FLL Power Puzzle Scoring Worksheet-SBP1" xfId="238"/>
    <cellStyle name="Hyperlink_FLL-Body-Forward-Score-Sheet-Excel-EN" xfId="239"/>
    <cellStyle name="Hyperlink_ScrimmageVolunteers" xfId="240"/>
    <cellStyle name="Input" xfId="241"/>
    <cellStyle name="Input_08-09 SCORING-logplus-v2-los-altos-scrimmage" xfId="242"/>
    <cellStyle name="Input_2009-LosAltos-Scrimmage-Scoring-Final" xfId="243"/>
    <cellStyle name="Input_2010-LosAltos-Scrimmage-Scoring" xfId="244"/>
    <cellStyle name="Input_FLL-Body-Forward-Score-Sheet-Excel-EN" xfId="245"/>
    <cellStyle name="Input_ScrimmageVolunteers" xfId="246"/>
    <cellStyle name="Linked Cell" xfId="247"/>
    <cellStyle name="Linked Cell_08-09 SCORING-logplus-v2-los-altos-scrimmage" xfId="248"/>
    <cellStyle name="Linked Cell_2009-LosAltos-Scrimmage-Scoring-Final" xfId="249"/>
    <cellStyle name="Linked Cell_2010-LosAltos-Scrimmage-Scoring" xfId="250"/>
    <cellStyle name="Linked Cell_FLL-Body-Forward-Score-Sheet-Excel-EN" xfId="251"/>
    <cellStyle name="Linked Cell_ScrimmageVolunteers" xfId="252"/>
    <cellStyle name="Neutral" xfId="253"/>
    <cellStyle name="Neutral_08-09 SCORING-logplus-v2-los-altos-scrimmage" xfId="254"/>
    <cellStyle name="Neutral_2009-LosAltos-Scrimmage-Scoring-Final" xfId="255"/>
    <cellStyle name="Neutral_2010-LosAltos-Scrimmage-Scoring" xfId="256"/>
    <cellStyle name="Neutral_FLL-Body-Forward-Score-Sheet-Excel-EN" xfId="257"/>
    <cellStyle name="Neutral_ScrimmageVolunteers" xfId="258"/>
    <cellStyle name="Normal_2004 PA Tournament Team List" xfId="259"/>
    <cellStyle name="Normal_alpha" xfId="260"/>
    <cellStyle name="Normal_FLL-Body-Forward-Score-Sheet-Excel-EN" xfId="261"/>
    <cellStyle name="Normal_ScrimmageVolunteers" xfId="262"/>
    <cellStyle name="Note" xfId="263"/>
    <cellStyle name="Note_ScrimmageVolunteers" xfId="264"/>
    <cellStyle name="Output" xfId="265"/>
    <cellStyle name="Output_08-09 SCORING-logplus-v2-los-altos-scrimmage" xfId="266"/>
    <cellStyle name="Output_2009-LosAltos-Scrimmage-Scoring-Final" xfId="267"/>
    <cellStyle name="Output_2010-LosAltos-Scrimmage-Scoring" xfId="268"/>
    <cellStyle name="Output_FLL-Body-Forward-Score-Sheet-Excel-EN" xfId="269"/>
    <cellStyle name="Output_ScrimmageVolunteers" xfId="270"/>
    <cellStyle name="Percent" xfId="271"/>
    <cellStyle name="Title" xfId="272"/>
    <cellStyle name="Title_FLL-Body-Forward-Score-Sheet-Excel-EN" xfId="273"/>
    <cellStyle name="Title_ScrimmageVolunteers" xfId="274"/>
    <cellStyle name="Total" xfId="275"/>
    <cellStyle name="Total_08-09 SCORING-logplus-v2-los-altos-scrimmage" xfId="276"/>
    <cellStyle name="Total_2009-LosAltos-Scrimmage-Scoring-Final" xfId="277"/>
    <cellStyle name="Total_2010-LosAltos-Scrimmage-Scoring" xfId="278"/>
    <cellStyle name="Total_FLL-Body-Forward-Score-Sheet-Excel-EN" xfId="279"/>
    <cellStyle name="Total_ScrimmageVolunteers" xfId="280"/>
    <cellStyle name="Warning Text" xfId="281"/>
    <cellStyle name="Warning Text_08-09 SCORING-logplus-v2-example" xfId="282"/>
    <cellStyle name="Warning Text_08-09 SCORING-logplus-v2-los-altos-scrimmage" xfId="283"/>
    <cellStyle name="Warning Text_2008Scoring-SBP" xfId="284"/>
    <cellStyle name="Warning Text_2009-LosAltos-Scrimmage-Scoring" xfId="285"/>
    <cellStyle name="Warning Text_2009-LosAltos-Scrimmage-Scoring-Final" xfId="286"/>
    <cellStyle name="Warning Text_2009-LosAltos-Tournament" xfId="287"/>
    <cellStyle name="Warning Text_2010-LosAltos-Scrimmage-Scoring" xfId="288"/>
    <cellStyle name="Warning Text_2010-LosAltos-Tournament" xfId="289"/>
    <cellStyle name="Warning Text_FLL-Body-Forward-Score-Sheet-Excel-EN" xfId="290"/>
    <cellStyle name="Warning Text_ScrimmageVolunteers" xfId="291"/>
  </cellStyles>
  <dxfs count="9"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  <dxf>
      <font>
        <color rgb="FF008000"/>
      </font>
      <border/>
    </dxf>
    <dxf>
      <fill>
        <patternFill>
          <bgColor rgb="FF00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AN74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28125" style="52" bestFit="1" customWidth="1"/>
    <col min="2" max="2" width="4.8515625" style="52" customWidth="1"/>
    <col min="3" max="3" width="6.421875" style="52" customWidth="1"/>
    <col min="4" max="4" width="20.421875" style="52" customWidth="1"/>
    <col min="5" max="5" width="3.28125" style="52" bestFit="1" customWidth="1"/>
    <col min="6" max="6" width="6.28125" style="52" bestFit="1" customWidth="1"/>
    <col min="7" max="21" width="3.28125" style="52" bestFit="1" customWidth="1"/>
    <col min="22" max="22" width="6.8515625" style="52" customWidth="1"/>
    <col min="24" max="38" width="2.57421875" style="0" customWidth="1"/>
    <col min="39" max="39" width="4.57421875" style="0" bestFit="1" customWidth="1"/>
    <col min="40" max="40" width="5.00390625" style="0" customWidth="1"/>
  </cols>
  <sheetData>
    <row r="1" spans="1:40" ht="84" thickBot="1">
      <c r="A1" s="155" t="s">
        <v>43</v>
      </c>
      <c r="B1" s="100" t="s">
        <v>59</v>
      </c>
      <c r="C1" s="100" t="s">
        <v>41</v>
      </c>
      <c r="D1" s="100" t="s">
        <v>42</v>
      </c>
      <c r="E1" s="158" t="s">
        <v>44</v>
      </c>
      <c r="F1" s="100" t="s">
        <v>67</v>
      </c>
      <c r="G1" s="158" t="s">
        <v>0</v>
      </c>
      <c r="H1" s="158" t="s">
        <v>170</v>
      </c>
      <c r="I1" s="158" t="s">
        <v>55</v>
      </c>
      <c r="J1" s="158" t="s">
        <v>47</v>
      </c>
      <c r="K1" s="158" t="s">
        <v>4</v>
      </c>
      <c r="L1" s="158" t="s">
        <v>5</v>
      </c>
      <c r="M1" s="158" t="s">
        <v>6</v>
      </c>
      <c r="N1" s="158" t="s">
        <v>48</v>
      </c>
      <c r="O1" s="158" t="s">
        <v>49</v>
      </c>
      <c r="P1" s="158" t="s">
        <v>50</v>
      </c>
      <c r="Q1" s="158" t="s">
        <v>51</v>
      </c>
      <c r="R1" s="158" t="s">
        <v>52</v>
      </c>
      <c r="S1" s="158" t="s">
        <v>53</v>
      </c>
      <c r="T1" s="158" t="s">
        <v>9</v>
      </c>
      <c r="U1" s="158" t="s">
        <v>54</v>
      </c>
      <c r="V1" s="58" t="s">
        <v>168</v>
      </c>
      <c r="W1" s="51" t="s">
        <v>59</v>
      </c>
      <c r="X1" s="164" t="s">
        <v>0</v>
      </c>
      <c r="Y1" s="164" t="s">
        <v>46</v>
      </c>
      <c r="Z1" s="164" t="s">
        <v>55</v>
      </c>
      <c r="AA1" s="164" t="s">
        <v>47</v>
      </c>
      <c r="AB1" s="164" t="s">
        <v>4</v>
      </c>
      <c r="AC1" s="164" t="s">
        <v>5</v>
      </c>
      <c r="AD1" s="164" t="s">
        <v>6</v>
      </c>
      <c r="AE1" s="164" t="s">
        <v>48</v>
      </c>
      <c r="AF1" s="164" t="s">
        <v>49</v>
      </c>
      <c r="AG1" s="164" t="s">
        <v>50</v>
      </c>
      <c r="AH1" s="164" t="s">
        <v>51</v>
      </c>
      <c r="AI1" s="164" t="s">
        <v>52</v>
      </c>
      <c r="AJ1" s="164" t="s">
        <v>53</v>
      </c>
      <c r="AK1" s="164" t="s">
        <v>9</v>
      </c>
      <c r="AL1" s="164" t="s">
        <v>54</v>
      </c>
      <c r="AM1" s="51" t="s">
        <v>168</v>
      </c>
      <c r="AN1" s="51" t="s">
        <v>169</v>
      </c>
    </row>
    <row r="2" spans="1:40" ht="12.75">
      <c r="A2" s="157">
        <v>1</v>
      </c>
      <c r="B2" s="136">
        <f>IF($A2&lt;&gt;$A1,W2,"")</f>
        <v>1</v>
      </c>
      <c r="C2" s="143">
        <f>IF($A2&lt;&gt;$A1,VLOOKUP($A2,TeamsData!$A$2:$N$99,2,FALSE),"")</f>
        <v>353</v>
      </c>
      <c r="D2" s="143" t="str">
        <f>IF($A2&lt;&gt;$A1,VLOOKUP($A2,TeamsData!$A$2:$N$99,3,FALSE),"")</f>
        <v>The Cyborgs</v>
      </c>
      <c r="E2" s="135">
        <v>1</v>
      </c>
      <c r="F2" s="144">
        <v>152</v>
      </c>
      <c r="G2" s="167">
        <f>IF(X2=0,"",X2)</f>
        <v>66</v>
      </c>
      <c r="H2" s="167">
        <f aca="true" t="shared" si="0" ref="H2:U2">IF(Y2=0,"",Y2)</f>
        <v>9</v>
      </c>
      <c r="I2" s="167">
        <f t="shared" si="0"/>
        <v>15</v>
      </c>
      <c r="J2" s="167">
        <f t="shared" si="0"/>
      </c>
      <c r="K2" s="167">
        <f t="shared" si="0"/>
      </c>
      <c r="L2" s="167">
        <f t="shared" si="0"/>
        <v>24</v>
      </c>
      <c r="M2" s="167">
        <f t="shared" si="0"/>
        <v>9</v>
      </c>
      <c r="N2" s="167">
        <f t="shared" si="0"/>
        <v>8</v>
      </c>
      <c r="O2" s="167">
        <f t="shared" si="0"/>
        <v>12</v>
      </c>
      <c r="P2" s="167">
        <f t="shared" si="0"/>
      </c>
      <c r="Q2" s="167">
        <f t="shared" si="0"/>
      </c>
      <c r="R2" s="167">
        <f t="shared" si="0"/>
      </c>
      <c r="S2" s="167">
        <f t="shared" si="0"/>
      </c>
      <c r="T2" s="167">
        <f t="shared" si="0"/>
      </c>
      <c r="U2" s="168">
        <f t="shared" si="0"/>
        <v>9</v>
      </c>
      <c r="V2" s="156" t="s">
        <v>142</v>
      </c>
      <c r="W2" s="138">
        <f>VLOOKUP($A2,TeamsData!$A$2:$N$99,12,FALSE)</f>
        <v>1</v>
      </c>
      <c r="X2" s="59">
        <v>66</v>
      </c>
      <c r="Y2" s="59">
        <v>9</v>
      </c>
      <c r="Z2" s="59">
        <v>15</v>
      </c>
      <c r="AA2" s="59">
        <v>0</v>
      </c>
      <c r="AB2" s="59">
        <v>0</v>
      </c>
      <c r="AC2" s="59">
        <v>24</v>
      </c>
      <c r="AD2" s="59">
        <v>9</v>
      </c>
      <c r="AE2" s="59">
        <v>8</v>
      </c>
      <c r="AF2" s="59">
        <v>12</v>
      </c>
      <c r="AG2" s="59">
        <v>0</v>
      </c>
      <c r="AH2" s="59">
        <v>0</v>
      </c>
      <c r="AI2" s="59">
        <v>0</v>
      </c>
      <c r="AJ2" s="59">
        <v>0</v>
      </c>
      <c r="AK2" s="59">
        <v>0</v>
      </c>
      <c r="AL2" s="59">
        <v>9</v>
      </c>
      <c r="AM2" s="163" t="s">
        <v>142</v>
      </c>
      <c r="AN2" s="138">
        <f>VLOOKUP($A2,TeamsData!$A$2:$N$99,11,FALSE)</f>
        <v>152</v>
      </c>
    </row>
    <row r="3" spans="1:40" ht="12.75">
      <c r="A3" s="157">
        <v>1</v>
      </c>
      <c r="B3" s="140">
        <f aca="true" t="shared" si="1" ref="B3:B49">IF($A3&lt;&gt;$A2,W3,"")</f>
      </c>
      <c r="C3" s="51">
        <f>IF($A3&lt;&gt;$A2,VLOOKUP($A3,TeamsData!$A$2:$N$99,2,FALSE),"")</f>
      </c>
      <c r="D3" s="51">
        <f>IF($A3&lt;&gt;$A2,VLOOKUP($A3,TeamsData!$A$2:$N$99,3,FALSE),"")</f>
      </c>
      <c r="E3" s="139">
        <v>2</v>
      </c>
      <c r="F3" s="58">
        <v>122</v>
      </c>
      <c r="G3" s="139">
        <v>60</v>
      </c>
      <c r="H3" s="139">
        <f aca="true" t="shared" si="2" ref="H3:H49">IF(Y3=0,"",Y3)</f>
      </c>
      <c r="I3" s="139">
        <f aca="true" t="shared" si="3" ref="I3:I49">IF(Z3=0,"",Z3)</f>
        <v>30</v>
      </c>
      <c r="J3" s="139">
        <f aca="true" t="shared" si="4" ref="J3:J49">IF(AA3=0,"",AA3)</f>
      </c>
      <c r="K3" s="139">
        <f aca="true" t="shared" si="5" ref="K3:K49">IF(AB3=0,"",AB3)</f>
      </c>
      <c r="L3" s="139">
        <f aca="true" t="shared" si="6" ref="L3:L49">IF(AC3=0,"",AC3)</f>
        <v>14</v>
      </c>
      <c r="M3" s="139">
        <f aca="true" t="shared" si="7" ref="M3:M49">IF(AD3=0,"",AD3)</f>
        <v>5</v>
      </c>
      <c r="N3" s="139">
        <f aca="true" t="shared" si="8" ref="N3:N49">IF(AE3=0,"",AE3)</f>
        <v>4</v>
      </c>
      <c r="O3" s="139">
        <f aca="true" t="shared" si="9" ref="O3:O49">IF(AF3=0,"",AF3)</f>
      </c>
      <c r="P3" s="139">
        <f aca="true" t="shared" si="10" ref="P3:P49">IF(AG3=0,"",AG3)</f>
      </c>
      <c r="Q3" s="139">
        <f aca="true" t="shared" si="11" ref="Q3:Q49">IF(AH3=0,"",AH3)</f>
      </c>
      <c r="R3" s="139">
        <f aca="true" t="shared" si="12" ref="R3:R49">IF(AI3=0,"",AI3)</f>
      </c>
      <c r="S3" s="139">
        <f aca="true" t="shared" si="13" ref="S3:S49">IF(AJ3=0,"",AJ3)</f>
      </c>
      <c r="T3" s="139">
        <f aca="true" t="shared" si="14" ref="T3:T49">IF(AK3=0,"",AK3)</f>
      </c>
      <c r="U3" s="142">
        <f aca="true" t="shared" si="15" ref="U3:U49">IF(AL3=0,"",AL3)</f>
        <v>9</v>
      </c>
      <c r="V3" s="153" t="s">
        <v>153</v>
      </c>
      <c r="W3" s="51">
        <f>VLOOKUP($A3,TeamsData!$A$2:$N$99,12,FALSE)</f>
        <v>1</v>
      </c>
      <c r="X3" s="58">
        <v>60</v>
      </c>
      <c r="Y3" s="58">
        <v>0</v>
      </c>
      <c r="Z3" s="58">
        <v>30</v>
      </c>
      <c r="AA3" s="58">
        <v>0</v>
      </c>
      <c r="AB3" s="58">
        <v>0</v>
      </c>
      <c r="AC3" s="58">
        <v>14</v>
      </c>
      <c r="AD3" s="58">
        <v>5</v>
      </c>
      <c r="AE3" s="58">
        <v>4</v>
      </c>
      <c r="AF3" s="58">
        <v>0</v>
      </c>
      <c r="AG3" s="58">
        <v>0</v>
      </c>
      <c r="AH3" s="58">
        <v>0</v>
      </c>
      <c r="AI3" s="58">
        <v>0</v>
      </c>
      <c r="AJ3" s="58">
        <v>0</v>
      </c>
      <c r="AK3" s="58">
        <v>0</v>
      </c>
      <c r="AL3" s="58">
        <v>9</v>
      </c>
      <c r="AM3" s="134" t="s">
        <v>153</v>
      </c>
      <c r="AN3" s="51">
        <f>VLOOKUP($A3,TeamsData!$A$2:$N$99,11,FALSE)</f>
        <v>152</v>
      </c>
    </row>
    <row r="4" spans="1:40" ht="13.5" thickBot="1">
      <c r="A4" s="157">
        <v>1</v>
      </c>
      <c r="B4" s="159">
        <f t="shared" si="1"/>
      </c>
      <c r="C4" s="160">
        <f>IF($A4&lt;&gt;$A3,VLOOKUP($A4,TeamsData!$A$2:$N$99,2,FALSE),"")</f>
      </c>
      <c r="D4" s="160">
        <f>IF($A4&lt;&gt;$A3,VLOOKUP($A4,TeamsData!$A$2:$N$99,3,FALSE),"")</f>
      </c>
      <c r="E4" s="53">
        <v>3</v>
      </c>
      <c r="F4" s="134">
        <v>150</v>
      </c>
      <c r="G4" s="53">
        <v>72</v>
      </c>
      <c r="H4" s="53">
        <f t="shared" si="2"/>
        <v>9</v>
      </c>
      <c r="I4" s="53">
        <f t="shared" si="3"/>
        <v>30</v>
      </c>
      <c r="J4" s="53">
        <f t="shared" si="4"/>
      </c>
      <c r="K4" s="53">
        <f t="shared" si="5"/>
      </c>
      <c r="L4" s="53">
        <f t="shared" si="6"/>
        <v>14</v>
      </c>
      <c r="M4" s="53">
        <f t="shared" si="7"/>
      </c>
      <c r="N4" s="53">
        <f t="shared" si="8"/>
        <v>4</v>
      </c>
      <c r="O4" s="53">
        <f t="shared" si="9"/>
        <v>12</v>
      </c>
      <c r="P4" s="53">
        <f t="shared" si="10"/>
      </c>
      <c r="Q4" s="53">
        <f t="shared" si="11"/>
      </c>
      <c r="R4" s="53">
        <f t="shared" si="12"/>
      </c>
      <c r="S4" s="53">
        <f t="shared" si="13"/>
      </c>
      <c r="T4" s="53">
        <f t="shared" si="14"/>
      </c>
      <c r="U4" s="162">
        <f t="shared" si="15"/>
        <v>9</v>
      </c>
      <c r="V4" s="153" t="s">
        <v>163</v>
      </c>
      <c r="W4" s="51">
        <f>VLOOKUP($A4,TeamsData!$A$2:$N$99,12,FALSE)</f>
        <v>1</v>
      </c>
      <c r="X4" s="58">
        <v>72</v>
      </c>
      <c r="Y4" s="58">
        <v>9</v>
      </c>
      <c r="Z4" s="58">
        <v>30</v>
      </c>
      <c r="AA4" s="58">
        <v>0</v>
      </c>
      <c r="AB4" s="58">
        <v>0</v>
      </c>
      <c r="AC4" s="58">
        <v>14</v>
      </c>
      <c r="AD4" s="58">
        <v>0</v>
      </c>
      <c r="AE4" s="58">
        <v>4</v>
      </c>
      <c r="AF4" s="58">
        <v>12</v>
      </c>
      <c r="AG4" s="58">
        <v>0</v>
      </c>
      <c r="AH4" s="58">
        <v>0</v>
      </c>
      <c r="AI4" s="58">
        <v>0</v>
      </c>
      <c r="AJ4" s="58">
        <v>0</v>
      </c>
      <c r="AK4" s="58">
        <v>0</v>
      </c>
      <c r="AL4" s="58">
        <v>9</v>
      </c>
      <c r="AM4" s="134" t="s">
        <v>163</v>
      </c>
      <c r="AN4" s="51">
        <f>VLOOKUP($A4,TeamsData!$A$2:$N$99,11,FALSE)</f>
        <v>152</v>
      </c>
    </row>
    <row r="5" spans="1:40" ht="12.75">
      <c r="A5" s="157">
        <v>16</v>
      </c>
      <c r="B5" s="136">
        <f t="shared" si="1"/>
        <v>2</v>
      </c>
      <c r="C5" s="143">
        <f>IF($A5&lt;&gt;$A4,VLOOKUP($A5,TeamsData!$A$2:$N$99,2,FALSE),"")</f>
        <v>6134</v>
      </c>
      <c r="D5" s="143" t="str">
        <f>IF($A5&lt;&gt;$A4,VLOOKUP($A5,TeamsData!$A$2:$N$99,3,FALSE),"")</f>
        <v>Lightning Bots</v>
      </c>
      <c r="E5" s="135">
        <v>1</v>
      </c>
      <c r="F5" s="165">
        <v>90</v>
      </c>
      <c r="G5" s="135">
        <v>60</v>
      </c>
      <c r="H5" s="135">
        <f t="shared" si="2"/>
        <v>9</v>
      </c>
      <c r="I5" s="135">
        <f t="shared" si="3"/>
      </c>
      <c r="J5" s="135">
        <f t="shared" si="4"/>
      </c>
      <c r="K5" s="135">
        <f t="shared" si="5"/>
      </c>
      <c r="L5" s="135">
        <f t="shared" si="6"/>
        <v>7</v>
      </c>
      <c r="M5" s="135">
        <f t="shared" si="7"/>
      </c>
      <c r="N5" s="135">
        <f t="shared" si="8"/>
      </c>
      <c r="O5" s="135">
        <f t="shared" si="9"/>
      </c>
      <c r="P5" s="135">
        <f t="shared" si="10"/>
      </c>
      <c r="Q5" s="135">
        <f t="shared" si="11"/>
      </c>
      <c r="R5" s="135">
        <f t="shared" si="12"/>
      </c>
      <c r="S5" s="135">
        <f t="shared" si="13"/>
      </c>
      <c r="T5" s="135">
        <f t="shared" si="14"/>
        <v>14</v>
      </c>
      <c r="U5" s="145">
        <f t="shared" si="15"/>
      </c>
      <c r="V5" s="154" t="s">
        <v>130</v>
      </c>
      <c r="W5" s="51">
        <f>VLOOKUP($A5,TeamsData!$A$2:$N$99,12,FALSE)</f>
        <v>2</v>
      </c>
      <c r="X5" s="58">
        <v>60</v>
      </c>
      <c r="Y5" s="58">
        <v>9</v>
      </c>
      <c r="Z5" s="58">
        <v>0</v>
      </c>
      <c r="AA5" s="58">
        <v>0</v>
      </c>
      <c r="AB5" s="58">
        <v>0</v>
      </c>
      <c r="AC5" s="58">
        <v>7</v>
      </c>
      <c r="AD5" s="58">
        <v>0</v>
      </c>
      <c r="AE5" s="58">
        <v>0</v>
      </c>
      <c r="AF5" s="58">
        <v>0</v>
      </c>
      <c r="AG5" s="58">
        <v>0</v>
      </c>
      <c r="AH5" s="58">
        <v>0</v>
      </c>
      <c r="AI5" s="58">
        <v>0</v>
      </c>
      <c r="AJ5" s="58">
        <v>0</v>
      </c>
      <c r="AK5" s="58">
        <v>14</v>
      </c>
      <c r="AL5" s="58">
        <v>0</v>
      </c>
      <c r="AM5" s="70" t="s">
        <v>130</v>
      </c>
      <c r="AN5" s="51">
        <f>VLOOKUP($A5,TeamsData!$A$2:$N$99,11,FALSE)</f>
        <v>150</v>
      </c>
    </row>
    <row r="6" spans="1:40" ht="12.75">
      <c r="A6" s="157">
        <v>16</v>
      </c>
      <c r="B6" s="140">
        <f t="shared" si="1"/>
      </c>
      <c r="C6" s="51">
        <f>IF($A6&lt;&gt;$A5,VLOOKUP($A6,TeamsData!$A$2:$N$99,2,FALSE),"")</f>
      </c>
      <c r="D6" s="51">
        <f>IF($A6&lt;&gt;$A5,VLOOKUP($A6,TeamsData!$A$2:$N$99,3,FALSE),"")</f>
      </c>
      <c r="E6" s="139">
        <v>2</v>
      </c>
      <c r="F6" s="58">
        <v>135</v>
      </c>
      <c r="G6" s="139">
        <v>66</v>
      </c>
      <c r="H6" s="139">
        <f t="shared" si="2"/>
        <v>9</v>
      </c>
      <c r="I6" s="139">
        <f t="shared" si="3"/>
        <v>15</v>
      </c>
      <c r="J6" s="139">
        <f t="shared" si="4"/>
        <v>7</v>
      </c>
      <c r="K6" s="139">
        <f t="shared" si="5"/>
        <v>9</v>
      </c>
      <c r="L6" s="139">
        <f t="shared" si="6"/>
        <v>14</v>
      </c>
      <c r="M6" s="139">
        <f t="shared" si="7"/>
      </c>
      <c r="N6" s="139">
        <f t="shared" si="8"/>
        <v>4</v>
      </c>
      <c r="O6" s="139">
        <f t="shared" si="9"/>
      </c>
      <c r="P6" s="139">
        <f t="shared" si="10"/>
      </c>
      <c r="Q6" s="139">
        <f t="shared" si="11"/>
      </c>
      <c r="R6" s="139">
        <f t="shared" si="12"/>
      </c>
      <c r="S6" s="139">
        <f t="shared" si="13"/>
      </c>
      <c r="T6" s="139">
        <f t="shared" si="14"/>
        <v>2</v>
      </c>
      <c r="U6" s="142">
        <f t="shared" si="15"/>
        <v>9</v>
      </c>
      <c r="V6" s="153" t="s">
        <v>147</v>
      </c>
      <c r="W6" s="51">
        <f>VLOOKUP($A6,TeamsData!$A$2:$N$99,12,FALSE)</f>
        <v>2</v>
      </c>
      <c r="X6" s="58">
        <v>66</v>
      </c>
      <c r="Y6" s="58">
        <v>9</v>
      </c>
      <c r="Z6" s="58">
        <v>15</v>
      </c>
      <c r="AA6" s="58">
        <v>7</v>
      </c>
      <c r="AB6" s="58">
        <v>9</v>
      </c>
      <c r="AC6" s="58">
        <v>14</v>
      </c>
      <c r="AD6" s="58">
        <v>0</v>
      </c>
      <c r="AE6" s="58">
        <v>4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2</v>
      </c>
      <c r="AL6" s="58">
        <v>9</v>
      </c>
      <c r="AM6" s="134" t="s">
        <v>147</v>
      </c>
      <c r="AN6" s="51">
        <f>VLOOKUP($A6,TeamsData!$A$2:$N$99,11,FALSE)</f>
        <v>150</v>
      </c>
    </row>
    <row r="7" spans="1:40" ht="13.5" thickBot="1">
      <c r="A7" s="157">
        <v>16</v>
      </c>
      <c r="B7" s="146">
        <f t="shared" si="1"/>
      </c>
      <c r="C7" s="147">
        <f>IF($A7&lt;&gt;$A6,VLOOKUP($A7,TeamsData!$A$2:$N$99,2,FALSE),"")</f>
      </c>
      <c r="D7" s="147">
        <f>IF($A7&lt;&gt;$A6,VLOOKUP($A7,TeamsData!$A$2:$N$99,3,FALSE),"")</f>
      </c>
      <c r="E7" s="148">
        <v>3</v>
      </c>
      <c r="F7" s="149">
        <v>150</v>
      </c>
      <c r="G7" s="169">
        <v>72</v>
      </c>
      <c r="H7" s="169">
        <f t="shared" si="2"/>
        <v>9</v>
      </c>
      <c r="I7" s="169">
        <f t="shared" si="3"/>
        <v>15</v>
      </c>
      <c r="J7" s="169">
        <f t="shared" si="4"/>
        <v>7</v>
      </c>
      <c r="K7" s="169">
        <f t="shared" si="5"/>
        <v>6</v>
      </c>
      <c r="L7" s="169">
        <f t="shared" si="6"/>
        <v>14</v>
      </c>
      <c r="M7" s="169">
        <f t="shared" si="7"/>
      </c>
      <c r="N7" s="169">
        <f t="shared" si="8"/>
        <v>4</v>
      </c>
      <c r="O7" s="169">
        <f t="shared" si="9"/>
      </c>
      <c r="P7" s="169">
        <f t="shared" si="10"/>
      </c>
      <c r="Q7" s="169">
        <f t="shared" si="11"/>
      </c>
      <c r="R7" s="169">
        <f t="shared" si="12"/>
      </c>
      <c r="S7" s="169">
        <f t="shared" si="13"/>
      </c>
      <c r="T7" s="169">
        <f t="shared" si="14"/>
        <v>14</v>
      </c>
      <c r="U7" s="170">
        <f t="shared" si="15"/>
        <v>9</v>
      </c>
      <c r="V7" s="153" t="s">
        <v>157</v>
      </c>
      <c r="W7" s="51">
        <f>VLOOKUP($A7,TeamsData!$A$2:$N$99,12,FALSE)</f>
        <v>2</v>
      </c>
      <c r="X7" s="58">
        <v>72</v>
      </c>
      <c r="Y7" s="58">
        <v>9</v>
      </c>
      <c r="Z7" s="58">
        <v>15</v>
      </c>
      <c r="AA7" s="58">
        <v>7</v>
      </c>
      <c r="AB7" s="58">
        <v>6</v>
      </c>
      <c r="AC7" s="58">
        <v>14</v>
      </c>
      <c r="AD7" s="58">
        <v>0</v>
      </c>
      <c r="AE7" s="58">
        <v>4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14</v>
      </c>
      <c r="AL7" s="58">
        <v>9</v>
      </c>
      <c r="AM7" s="134" t="s">
        <v>157</v>
      </c>
      <c r="AN7" s="51">
        <f>VLOOKUP($A7,TeamsData!$A$2:$N$99,11,FALSE)</f>
        <v>150</v>
      </c>
    </row>
    <row r="8" spans="1:40" ht="12.75">
      <c r="A8" s="157">
        <v>11</v>
      </c>
      <c r="B8" s="136">
        <f t="shared" si="1"/>
        <v>3</v>
      </c>
      <c r="C8" s="143">
        <f>IF($A8&lt;&gt;$A7,VLOOKUP($A8,TeamsData!$A$2:$N$99,2,FALSE),"")</f>
        <v>8627</v>
      </c>
      <c r="D8" s="143" t="str">
        <f>IF($A8&lt;&gt;$A7,VLOOKUP($A8,TeamsData!$A$2:$N$99,3,FALSE),"")</f>
        <v>The Other Team Again</v>
      </c>
      <c r="E8" s="135">
        <v>1</v>
      </c>
      <c r="F8" s="165">
        <v>131</v>
      </c>
      <c r="G8" s="135">
        <v>66</v>
      </c>
      <c r="H8" s="135">
        <f t="shared" si="2"/>
      </c>
      <c r="I8" s="135">
        <f t="shared" si="3"/>
        <v>15</v>
      </c>
      <c r="J8" s="135">
        <f t="shared" si="4"/>
      </c>
      <c r="K8" s="135">
        <f t="shared" si="5"/>
      </c>
      <c r="L8" s="135">
        <f t="shared" si="6"/>
        <v>14</v>
      </c>
      <c r="M8" s="135">
        <f t="shared" si="7"/>
      </c>
      <c r="N8" s="135">
        <f t="shared" si="8"/>
        <v>4</v>
      </c>
      <c r="O8" s="135">
        <f t="shared" si="9"/>
        <v>12</v>
      </c>
      <c r="P8" s="135">
        <f t="shared" si="10"/>
      </c>
      <c r="Q8" s="135">
        <f t="shared" si="11"/>
      </c>
      <c r="R8" s="135">
        <f t="shared" si="12"/>
      </c>
      <c r="S8" s="135">
        <f t="shared" si="13"/>
      </c>
      <c r="T8" s="135">
        <f t="shared" si="14"/>
        <v>20</v>
      </c>
      <c r="U8" s="145">
        <f t="shared" si="15"/>
      </c>
      <c r="V8" s="154" t="s">
        <v>126</v>
      </c>
      <c r="W8" s="51">
        <f>VLOOKUP($A8,TeamsData!$A$2:$N$99,12,FALSE)</f>
        <v>3</v>
      </c>
      <c r="X8" s="58">
        <v>66</v>
      </c>
      <c r="Y8" s="58">
        <v>0</v>
      </c>
      <c r="Z8" s="58">
        <v>15</v>
      </c>
      <c r="AA8" s="58">
        <v>0</v>
      </c>
      <c r="AB8" s="58">
        <v>0</v>
      </c>
      <c r="AC8" s="58">
        <v>14</v>
      </c>
      <c r="AD8" s="58">
        <v>0</v>
      </c>
      <c r="AE8" s="58">
        <v>4</v>
      </c>
      <c r="AF8" s="58">
        <v>12</v>
      </c>
      <c r="AG8" s="58">
        <v>0</v>
      </c>
      <c r="AH8" s="58">
        <v>0</v>
      </c>
      <c r="AI8" s="58">
        <v>0</v>
      </c>
      <c r="AJ8" s="58">
        <v>0</v>
      </c>
      <c r="AK8" s="58">
        <v>20</v>
      </c>
      <c r="AL8" s="58">
        <v>0</v>
      </c>
      <c r="AM8" s="70" t="s">
        <v>126</v>
      </c>
      <c r="AN8" s="51">
        <f>VLOOKUP($A8,TeamsData!$A$2:$N$99,11,FALSE)</f>
        <v>144</v>
      </c>
    </row>
    <row r="9" spans="1:40" ht="12.75">
      <c r="A9" s="157">
        <v>11</v>
      </c>
      <c r="B9" s="140">
        <f t="shared" si="1"/>
      </c>
      <c r="C9" s="51">
        <f>IF($A9&lt;&gt;$A8,VLOOKUP($A9,TeamsData!$A$2:$N$99,2,FALSE),"")</f>
      </c>
      <c r="D9" s="51">
        <f>IF($A9&lt;&gt;$A8,VLOOKUP($A9,TeamsData!$A$2:$N$99,3,FALSE),"")</f>
      </c>
      <c r="E9" s="139">
        <v>2</v>
      </c>
      <c r="F9" s="58">
        <v>124</v>
      </c>
      <c r="G9" s="139">
        <v>66</v>
      </c>
      <c r="H9" s="139">
        <f t="shared" si="2"/>
        <v>9</v>
      </c>
      <c r="I9" s="139">
        <f t="shared" si="3"/>
      </c>
      <c r="J9" s="139">
        <f t="shared" si="4"/>
      </c>
      <c r="K9" s="139">
        <f t="shared" si="5"/>
      </c>
      <c r="L9" s="139">
        <f t="shared" si="6"/>
        <v>21</v>
      </c>
      <c r="M9" s="139">
        <f t="shared" si="7"/>
      </c>
      <c r="N9" s="139">
        <f t="shared" si="8"/>
        <v>4</v>
      </c>
      <c r="O9" s="139">
        <f t="shared" si="9"/>
      </c>
      <c r="P9" s="139">
        <f t="shared" si="10"/>
      </c>
      <c r="Q9" s="139">
        <f t="shared" si="11"/>
      </c>
      <c r="R9" s="139">
        <f t="shared" si="12"/>
        <v>20</v>
      </c>
      <c r="S9" s="139">
        <f t="shared" si="13"/>
      </c>
      <c r="T9" s="139">
        <f t="shared" si="14"/>
        <v>4</v>
      </c>
      <c r="U9" s="142">
        <f t="shared" si="15"/>
      </c>
      <c r="V9" s="153" t="s">
        <v>136</v>
      </c>
      <c r="W9" s="51">
        <f>VLOOKUP($A9,TeamsData!$A$2:$N$99,12,FALSE)</f>
        <v>3</v>
      </c>
      <c r="X9" s="58">
        <v>66</v>
      </c>
      <c r="Y9" s="58">
        <v>9</v>
      </c>
      <c r="Z9" s="58">
        <v>0</v>
      </c>
      <c r="AA9" s="58">
        <v>0</v>
      </c>
      <c r="AB9" s="58">
        <v>0</v>
      </c>
      <c r="AC9" s="58">
        <v>21</v>
      </c>
      <c r="AD9" s="58">
        <v>0</v>
      </c>
      <c r="AE9" s="58">
        <v>4</v>
      </c>
      <c r="AF9" s="58">
        <v>0</v>
      </c>
      <c r="AG9" s="58">
        <v>0</v>
      </c>
      <c r="AH9" s="58">
        <v>0</v>
      </c>
      <c r="AI9" s="58">
        <v>20</v>
      </c>
      <c r="AJ9" s="58">
        <v>0</v>
      </c>
      <c r="AK9" s="58">
        <v>4</v>
      </c>
      <c r="AL9" s="58">
        <v>0</v>
      </c>
      <c r="AM9" s="134" t="s">
        <v>136</v>
      </c>
      <c r="AN9" s="51">
        <f>VLOOKUP($A9,TeamsData!$A$2:$N$99,11,FALSE)</f>
        <v>144</v>
      </c>
    </row>
    <row r="10" spans="1:40" ht="13.5" thickBot="1">
      <c r="A10" s="157">
        <v>11</v>
      </c>
      <c r="B10" s="146">
        <f t="shared" si="1"/>
      </c>
      <c r="C10" s="147">
        <f>IF($A10&lt;&gt;$A9,VLOOKUP($A10,TeamsData!$A$2:$N$99,2,FALSE),"")</f>
      </c>
      <c r="D10" s="147">
        <f>IF($A10&lt;&gt;$A9,VLOOKUP($A10,TeamsData!$A$2:$N$99,3,FALSE),"")</f>
      </c>
      <c r="E10" s="148">
        <v>3</v>
      </c>
      <c r="F10" s="149">
        <v>144</v>
      </c>
      <c r="G10" s="169">
        <v>66</v>
      </c>
      <c r="H10" s="169">
        <f t="shared" si="2"/>
      </c>
      <c r="I10" s="169">
        <f t="shared" si="3"/>
        <v>15</v>
      </c>
      <c r="J10" s="169">
        <f t="shared" si="4"/>
      </c>
      <c r="K10" s="169">
        <f t="shared" si="5"/>
      </c>
      <c r="L10" s="169">
        <f t="shared" si="6"/>
        <v>28</v>
      </c>
      <c r="M10" s="169">
        <f t="shared" si="7"/>
      </c>
      <c r="N10" s="169">
        <f t="shared" si="8"/>
        <v>4</v>
      </c>
      <c r="O10" s="169">
        <f t="shared" si="9"/>
      </c>
      <c r="P10" s="169">
        <f t="shared" si="10"/>
      </c>
      <c r="Q10" s="169">
        <f t="shared" si="11"/>
      </c>
      <c r="R10" s="169">
        <f t="shared" si="12"/>
      </c>
      <c r="S10" s="169">
        <f t="shared" si="13"/>
        <v>14</v>
      </c>
      <c r="T10" s="169">
        <f t="shared" si="14"/>
        <v>8</v>
      </c>
      <c r="U10" s="170">
        <f t="shared" si="15"/>
        <v>9</v>
      </c>
      <c r="V10" s="153" t="s">
        <v>149</v>
      </c>
      <c r="W10" s="51">
        <f>VLOOKUP($A10,TeamsData!$A$2:$N$99,12,FALSE)</f>
        <v>3</v>
      </c>
      <c r="X10" s="58">
        <v>66</v>
      </c>
      <c r="Y10" s="58">
        <v>0</v>
      </c>
      <c r="Z10" s="58">
        <v>15</v>
      </c>
      <c r="AA10" s="58">
        <v>0</v>
      </c>
      <c r="AB10" s="58">
        <v>0</v>
      </c>
      <c r="AC10" s="58">
        <v>28</v>
      </c>
      <c r="AD10" s="58">
        <v>0</v>
      </c>
      <c r="AE10" s="58">
        <v>4</v>
      </c>
      <c r="AF10" s="58">
        <v>0</v>
      </c>
      <c r="AG10" s="58">
        <v>0</v>
      </c>
      <c r="AH10" s="58">
        <v>0</v>
      </c>
      <c r="AI10" s="58">
        <v>0</v>
      </c>
      <c r="AJ10" s="58">
        <v>14</v>
      </c>
      <c r="AK10" s="58">
        <v>8</v>
      </c>
      <c r="AL10" s="58">
        <v>9</v>
      </c>
      <c r="AM10" s="134" t="s">
        <v>149</v>
      </c>
      <c r="AN10" s="51">
        <f>VLOOKUP($A10,TeamsData!$A$2:$N$99,11,FALSE)</f>
        <v>144</v>
      </c>
    </row>
    <row r="11" spans="1:40" ht="12.75">
      <c r="A11" s="157">
        <v>7</v>
      </c>
      <c r="B11" s="137">
        <f t="shared" si="1"/>
        <v>4</v>
      </c>
      <c r="C11" s="138">
        <f>IF($A11&lt;&gt;$A10,VLOOKUP($A11,TeamsData!$A$2:$N$99,2,FALSE),"")</f>
        <v>6195</v>
      </c>
      <c r="D11" s="138" t="str">
        <f>IF($A11&lt;&gt;$A10,VLOOKUP($A11,TeamsData!$A$2:$N$99,3,FALSE),"")</f>
        <v>SAP0wer4</v>
      </c>
      <c r="E11" s="151">
        <v>1</v>
      </c>
      <c r="F11" s="59">
        <v>82</v>
      </c>
      <c r="G11" s="151">
        <v>42</v>
      </c>
      <c r="H11" s="151">
        <f t="shared" si="2"/>
        <v>9</v>
      </c>
      <c r="I11" s="151">
        <f t="shared" si="3"/>
      </c>
      <c r="J11" s="151">
        <f t="shared" si="4"/>
      </c>
      <c r="K11" s="151">
        <f t="shared" si="5"/>
        <v>9</v>
      </c>
      <c r="L11" s="151">
        <f t="shared" si="6"/>
        <v>14</v>
      </c>
      <c r="M11" s="151">
        <f t="shared" si="7"/>
      </c>
      <c r="N11" s="151">
        <f t="shared" si="8"/>
        <v>8</v>
      </c>
      <c r="O11" s="151">
        <f t="shared" si="9"/>
      </c>
      <c r="P11" s="151">
        <f t="shared" si="10"/>
      </c>
      <c r="Q11" s="151">
        <f t="shared" si="11"/>
      </c>
      <c r="R11" s="151">
        <f t="shared" si="12"/>
      </c>
      <c r="S11" s="151">
        <f t="shared" si="13"/>
      </c>
      <c r="T11" s="151">
        <f t="shared" si="14"/>
      </c>
      <c r="U11" s="152">
        <f t="shared" si="15"/>
      </c>
      <c r="V11" s="154" t="s">
        <v>121</v>
      </c>
      <c r="W11" s="51">
        <f>VLOOKUP($A11,TeamsData!$A$2:$N$99,12,FALSE)</f>
        <v>4</v>
      </c>
      <c r="X11" s="58">
        <v>42</v>
      </c>
      <c r="Y11" s="58">
        <v>9</v>
      </c>
      <c r="Z11" s="58">
        <v>0</v>
      </c>
      <c r="AA11" s="58">
        <v>0</v>
      </c>
      <c r="AB11" s="58">
        <v>9</v>
      </c>
      <c r="AC11" s="58">
        <v>14</v>
      </c>
      <c r="AD11" s="58">
        <v>0</v>
      </c>
      <c r="AE11" s="58">
        <v>8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70" t="s">
        <v>121</v>
      </c>
      <c r="AN11" s="51">
        <f>VLOOKUP($A11,TeamsData!$A$2:$N$99,11,FALSE)</f>
        <v>135</v>
      </c>
    </row>
    <row r="12" spans="1:40" ht="12.75">
      <c r="A12" s="157">
        <v>7</v>
      </c>
      <c r="B12" s="140">
        <f t="shared" si="1"/>
      </c>
      <c r="C12" s="51">
        <f>IF($A12&lt;&gt;$A11,VLOOKUP($A12,TeamsData!$A$2:$N$99,2,FALSE),"")</f>
      </c>
      <c r="D12" s="51">
        <f>IF($A12&lt;&gt;$A11,VLOOKUP($A12,TeamsData!$A$2:$N$99,3,FALSE),"")</f>
      </c>
      <c r="E12" s="139">
        <v>2</v>
      </c>
      <c r="F12" s="141">
        <v>135</v>
      </c>
      <c r="G12" s="171">
        <v>72</v>
      </c>
      <c r="H12" s="171">
        <f t="shared" si="2"/>
        <v>9</v>
      </c>
      <c r="I12" s="171">
        <f t="shared" si="3"/>
      </c>
      <c r="J12" s="171">
        <f t="shared" si="4"/>
      </c>
      <c r="K12" s="171">
        <f t="shared" si="5"/>
        <v>9</v>
      </c>
      <c r="L12" s="171">
        <f t="shared" si="6"/>
        <v>14</v>
      </c>
      <c r="M12" s="171">
        <f t="shared" si="7"/>
      </c>
      <c r="N12" s="171">
        <f t="shared" si="8"/>
        <v>4</v>
      </c>
      <c r="O12" s="171">
        <f t="shared" si="9"/>
        <v>12</v>
      </c>
      <c r="P12" s="171">
        <f t="shared" si="10"/>
      </c>
      <c r="Q12" s="171">
        <f t="shared" si="11"/>
        <v>6</v>
      </c>
      <c r="R12" s="171">
        <f t="shared" si="12"/>
      </c>
      <c r="S12" s="171">
        <f t="shared" si="13"/>
      </c>
      <c r="T12" s="171">
        <f t="shared" si="14"/>
      </c>
      <c r="U12" s="172">
        <f t="shared" si="15"/>
        <v>9</v>
      </c>
      <c r="V12" s="153" t="s">
        <v>132</v>
      </c>
      <c r="W12" s="51">
        <f>VLOOKUP($A12,TeamsData!$A$2:$N$99,12,FALSE)</f>
        <v>4</v>
      </c>
      <c r="X12" s="58">
        <v>72</v>
      </c>
      <c r="Y12" s="58">
        <v>9</v>
      </c>
      <c r="Z12" s="58">
        <v>0</v>
      </c>
      <c r="AA12" s="58">
        <v>0</v>
      </c>
      <c r="AB12" s="58">
        <v>9</v>
      </c>
      <c r="AC12" s="58">
        <v>14</v>
      </c>
      <c r="AD12" s="58">
        <v>0</v>
      </c>
      <c r="AE12" s="58">
        <v>4</v>
      </c>
      <c r="AF12" s="58">
        <v>12</v>
      </c>
      <c r="AG12" s="58">
        <v>0</v>
      </c>
      <c r="AH12" s="58">
        <v>6</v>
      </c>
      <c r="AI12" s="58">
        <v>0</v>
      </c>
      <c r="AJ12" s="58">
        <v>0</v>
      </c>
      <c r="AK12" s="58">
        <v>0</v>
      </c>
      <c r="AL12" s="58">
        <v>9</v>
      </c>
      <c r="AM12" s="134" t="s">
        <v>132</v>
      </c>
      <c r="AN12" s="51">
        <f>VLOOKUP($A12,TeamsData!$A$2:$N$99,11,FALSE)</f>
        <v>135</v>
      </c>
    </row>
    <row r="13" spans="1:40" ht="13.5" thickBot="1">
      <c r="A13" s="157">
        <v>7</v>
      </c>
      <c r="B13" s="159">
        <f t="shared" si="1"/>
      </c>
      <c r="C13" s="160">
        <f>IF($A13&lt;&gt;$A12,VLOOKUP($A13,TeamsData!$A$2:$N$99,2,FALSE),"")</f>
      </c>
      <c r="D13" s="160">
        <f>IF($A13&lt;&gt;$A12,VLOOKUP($A13,TeamsData!$A$2:$N$99,3,FALSE),"")</f>
      </c>
      <c r="E13" s="53">
        <v>3</v>
      </c>
      <c r="F13" s="134">
        <v>96</v>
      </c>
      <c r="G13" s="53">
        <v>54</v>
      </c>
      <c r="H13" s="53">
        <f t="shared" si="2"/>
        <v>9</v>
      </c>
      <c r="I13" s="53">
        <f t="shared" si="3"/>
      </c>
      <c r="J13" s="53">
        <f t="shared" si="4"/>
      </c>
      <c r="K13" s="53">
        <f t="shared" si="5"/>
        <v>9</v>
      </c>
      <c r="L13" s="53">
        <f t="shared" si="6"/>
        <v>24</v>
      </c>
      <c r="M13" s="53">
        <f t="shared" si="7"/>
      </c>
      <c r="N13" s="53">
        <f t="shared" si="8"/>
      </c>
      <c r="O13" s="53">
        <f t="shared" si="9"/>
      </c>
      <c r="P13" s="53">
        <f t="shared" si="10"/>
      </c>
      <c r="Q13" s="53">
        <f t="shared" si="11"/>
      </c>
      <c r="R13" s="53">
        <f t="shared" si="12"/>
      </c>
      <c r="S13" s="53">
        <f t="shared" si="13"/>
      </c>
      <c r="T13" s="53">
        <f t="shared" si="14"/>
      </c>
      <c r="U13" s="162">
        <f t="shared" si="15"/>
      </c>
      <c r="V13" s="153" t="s">
        <v>162</v>
      </c>
      <c r="W13" s="51">
        <f>VLOOKUP($A13,TeamsData!$A$2:$N$99,12,FALSE)</f>
        <v>4</v>
      </c>
      <c r="X13" s="58">
        <v>54</v>
      </c>
      <c r="Y13" s="58">
        <v>9</v>
      </c>
      <c r="Z13" s="58">
        <v>0</v>
      </c>
      <c r="AA13" s="58">
        <v>0</v>
      </c>
      <c r="AB13" s="58">
        <v>9</v>
      </c>
      <c r="AC13" s="58">
        <v>24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134" t="s">
        <v>162</v>
      </c>
      <c r="AN13" s="51">
        <f>VLOOKUP($A13,TeamsData!$A$2:$N$99,11,FALSE)</f>
        <v>135</v>
      </c>
    </row>
    <row r="14" spans="1:40" ht="12.75">
      <c r="A14" s="157">
        <v>13</v>
      </c>
      <c r="B14" s="136">
        <f t="shared" si="1"/>
        <v>5</v>
      </c>
      <c r="C14" s="143">
        <f>IF($A14&lt;&gt;$A13,VLOOKUP($A14,TeamsData!$A$2:$N$99,2,FALSE),"")</f>
        <v>5820</v>
      </c>
      <c r="D14" s="143" t="str">
        <f>IF($A14&lt;&gt;$A13,VLOOKUP($A14,TeamsData!$A$2:$N$99,3,FALSE),"")</f>
        <v>Pieceful Programmers</v>
      </c>
      <c r="E14" s="135">
        <v>1</v>
      </c>
      <c r="F14" s="165">
        <v>115</v>
      </c>
      <c r="G14" s="135">
        <v>72</v>
      </c>
      <c r="H14" s="135">
        <f t="shared" si="2"/>
      </c>
      <c r="I14" s="135">
        <f t="shared" si="3"/>
      </c>
      <c r="J14" s="135">
        <f t="shared" si="4"/>
        <v>7</v>
      </c>
      <c r="K14" s="135">
        <f t="shared" si="5"/>
        <v>9</v>
      </c>
      <c r="L14" s="135">
        <f t="shared" si="6"/>
        <v>14</v>
      </c>
      <c r="M14" s="135">
        <f t="shared" si="7"/>
      </c>
      <c r="N14" s="135">
        <f t="shared" si="8"/>
        <v>4</v>
      </c>
      <c r="O14" s="135">
        <f t="shared" si="9"/>
      </c>
      <c r="P14" s="135">
        <f t="shared" si="10"/>
        <v>3</v>
      </c>
      <c r="Q14" s="135">
        <f t="shared" si="11"/>
        <v>6</v>
      </c>
      <c r="R14" s="135">
        <f t="shared" si="12"/>
      </c>
      <c r="S14" s="135">
        <f t="shared" si="13"/>
      </c>
      <c r="T14" s="135">
        <f t="shared" si="14"/>
      </c>
      <c r="U14" s="145">
        <f t="shared" si="15"/>
      </c>
      <c r="V14" s="154" t="s">
        <v>127</v>
      </c>
      <c r="W14" s="51">
        <f>VLOOKUP($A14,TeamsData!$A$2:$N$99,12,FALSE)</f>
        <v>5</v>
      </c>
      <c r="X14" s="58">
        <v>72</v>
      </c>
      <c r="Y14" s="58">
        <v>0</v>
      </c>
      <c r="Z14" s="58">
        <v>0</v>
      </c>
      <c r="AA14" s="58">
        <v>7</v>
      </c>
      <c r="AB14" s="58">
        <v>9</v>
      </c>
      <c r="AC14" s="58">
        <v>14</v>
      </c>
      <c r="AD14" s="58">
        <v>0</v>
      </c>
      <c r="AE14" s="58">
        <v>4</v>
      </c>
      <c r="AF14" s="58">
        <v>0</v>
      </c>
      <c r="AG14" s="58">
        <v>3</v>
      </c>
      <c r="AH14" s="58">
        <v>6</v>
      </c>
      <c r="AI14" s="58">
        <v>0</v>
      </c>
      <c r="AJ14" s="58">
        <v>0</v>
      </c>
      <c r="AK14" s="58">
        <v>0</v>
      </c>
      <c r="AL14" s="58">
        <v>0</v>
      </c>
      <c r="AM14" s="70" t="s">
        <v>127</v>
      </c>
      <c r="AN14" s="51">
        <f>VLOOKUP($A14,TeamsData!$A$2:$N$99,11,FALSE)</f>
        <v>134</v>
      </c>
    </row>
    <row r="15" spans="1:40" ht="12.75">
      <c r="A15" s="157">
        <v>13</v>
      </c>
      <c r="B15" s="140">
        <f t="shared" si="1"/>
      </c>
      <c r="C15" s="51">
        <f>IF($A15&lt;&gt;$A14,VLOOKUP($A15,TeamsData!$A$2:$N$99,2,FALSE),"")</f>
      </c>
      <c r="D15" s="51">
        <f>IF($A15&lt;&gt;$A14,VLOOKUP($A15,TeamsData!$A$2:$N$99,3,FALSE),"")</f>
      </c>
      <c r="E15" s="139">
        <v>2</v>
      </c>
      <c r="F15" s="141">
        <v>134</v>
      </c>
      <c r="G15" s="171">
        <v>72</v>
      </c>
      <c r="H15" s="171">
        <f t="shared" si="2"/>
      </c>
      <c r="I15" s="171">
        <f t="shared" si="3"/>
        <v>15</v>
      </c>
      <c r="J15" s="171">
        <f t="shared" si="4"/>
        <v>7</v>
      </c>
      <c r="K15" s="171">
        <f t="shared" si="5"/>
        <v>9</v>
      </c>
      <c r="L15" s="171">
        <f t="shared" si="6"/>
        <v>21</v>
      </c>
      <c r="M15" s="171">
        <f t="shared" si="7"/>
      </c>
      <c r="N15" s="171">
        <f t="shared" si="8"/>
        <v>4</v>
      </c>
      <c r="O15" s="171">
        <f t="shared" si="9"/>
      </c>
      <c r="P15" s="171">
        <f t="shared" si="10"/>
      </c>
      <c r="Q15" s="171">
        <f t="shared" si="11"/>
        <v>6</v>
      </c>
      <c r="R15" s="171">
        <f t="shared" si="12"/>
      </c>
      <c r="S15" s="171">
        <f t="shared" si="13"/>
      </c>
      <c r="T15" s="171">
        <f t="shared" si="14"/>
      </c>
      <c r="U15" s="172">
        <f t="shared" si="15"/>
      </c>
      <c r="V15" s="156" t="s">
        <v>140</v>
      </c>
      <c r="W15" s="138">
        <f>VLOOKUP($A15,TeamsData!$A$2:$N$99,12,FALSE)</f>
        <v>5</v>
      </c>
      <c r="X15" s="58">
        <v>72</v>
      </c>
      <c r="Y15" s="58">
        <v>0</v>
      </c>
      <c r="Z15" s="58">
        <v>15</v>
      </c>
      <c r="AA15" s="58">
        <v>7</v>
      </c>
      <c r="AB15" s="58">
        <v>9</v>
      </c>
      <c r="AC15" s="58">
        <v>21</v>
      </c>
      <c r="AD15" s="58">
        <v>0</v>
      </c>
      <c r="AE15" s="58">
        <v>4</v>
      </c>
      <c r="AF15" s="58">
        <v>0</v>
      </c>
      <c r="AG15" s="58">
        <v>0</v>
      </c>
      <c r="AH15" s="58">
        <v>6</v>
      </c>
      <c r="AI15" s="58">
        <v>0</v>
      </c>
      <c r="AJ15" s="58">
        <v>0</v>
      </c>
      <c r="AK15" s="58">
        <v>0</v>
      </c>
      <c r="AL15" s="58">
        <v>0</v>
      </c>
      <c r="AM15" s="58" t="s">
        <v>140</v>
      </c>
      <c r="AN15" s="51">
        <f>VLOOKUP($A15,TeamsData!$A$2:$N$99,11,FALSE)</f>
        <v>134</v>
      </c>
    </row>
    <row r="16" spans="1:40" ht="13.5" thickBot="1">
      <c r="A16" s="157">
        <v>13</v>
      </c>
      <c r="B16" s="146">
        <f t="shared" si="1"/>
      </c>
      <c r="C16" s="147">
        <f>IF($A16&lt;&gt;$A15,VLOOKUP($A16,TeamsData!$A$2:$N$99,2,FALSE),"")</f>
      </c>
      <c r="D16" s="147">
        <f>IF($A16&lt;&gt;$A15,VLOOKUP($A16,TeamsData!$A$2:$N$99,3,FALSE),"")</f>
      </c>
      <c r="E16" s="148">
        <v>3</v>
      </c>
      <c r="F16" s="166">
        <v>130</v>
      </c>
      <c r="G16" s="148">
        <v>72</v>
      </c>
      <c r="H16" s="148">
        <f t="shared" si="2"/>
      </c>
      <c r="I16" s="148">
        <f t="shared" si="3"/>
      </c>
      <c r="J16" s="148">
        <f t="shared" si="4"/>
        <v>14</v>
      </c>
      <c r="K16" s="148">
        <f t="shared" si="5"/>
        <v>9</v>
      </c>
      <c r="L16" s="148">
        <f t="shared" si="6"/>
        <v>28</v>
      </c>
      <c r="M16" s="148">
        <f t="shared" si="7"/>
      </c>
      <c r="N16" s="148">
        <f t="shared" si="8"/>
        <v>4</v>
      </c>
      <c r="O16" s="148">
        <f t="shared" si="9"/>
      </c>
      <c r="P16" s="148">
        <f t="shared" si="10"/>
        <v>3</v>
      </c>
      <c r="Q16" s="148">
        <f t="shared" si="11"/>
      </c>
      <c r="R16" s="148">
        <f t="shared" si="12"/>
      </c>
      <c r="S16" s="148">
        <f t="shared" si="13"/>
      </c>
      <c r="T16" s="148">
        <f t="shared" si="14"/>
      </c>
      <c r="U16" s="150">
        <f t="shared" si="15"/>
      </c>
      <c r="V16" s="153" t="s">
        <v>156</v>
      </c>
      <c r="W16" s="51">
        <f>VLOOKUP($A16,TeamsData!$A$2:$N$99,12,FALSE)</f>
        <v>5</v>
      </c>
      <c r="X16" s="58">
        <v>72</v>
      </c>
      <c r="Y16" s="58">
        <v>0</v>
      </c>
      <c r="Z16" s="58">
        <v>0</v>
      </c>
      <c r="AA16" s="58">
        <v>14</v>
      </c>
      <c r="AB16" s="58">
        <v>9</v>
      </c>
      <c r="AC16" s="58">
        <v>28</v>
      </c>
      <c r="AD16" s="58">
        <v>0</v>
      </c>
      <c r="AE16" s="58">
        <v>4</v>
      </c>
      <c r="AF16" s="58">
        <v>0</v>
      </c>
      <c r="AG16" s="58">
        <v>3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 t="s">
        <v>156</v>
      </c>
      <c r="AN16" s="51">
        <f>VLOOKUP($A16,TeamsData!$A$2:$N$99,11,FALSE)</f>
        <v>134</v>
      </c>
    </row>
    <row r="17" spans="1:40" ht="12.75">
      <c r="A17" s="157">
        <v>3</v>
      </c>
      <c r="B17" s="137">
        <f t="shared" si="1"/>
        <v>6</v>
      </c>
      <c r="C17" s="138">
        <f>IF($A17&lt;&gt;$A16,VLOOKUP($A17,TeamsData!$A$2:$N$99,2,FALSE),"")</f>
        <v>8717</v>
      </c>
      <c r="D17" s="138" t="str">
        <f>IF($A17&lt;&gt;$A16,VLOOKUP($A17,TeamsData!$A$2:$N$99,3,FALSE),"")</f>
        <v>Robotic Ravioli</v>
      </c>
      <c r="E17" s="151">
        <v>1</v>
      </c>
      <c r="F17" s="59">
        <v>132</v>
      </c>
      <c r="G17" s="151">
        <v>72</v>
      </c>
      <c r="H17" s="151">
        <f t="shared" si="2"/>
      </c>
      <c r="I17" s="151">
        <f t="shared" si="3"/>
        <v>15</v>
      </c>
      <c r="J17" s="151">
        <f t="shared" si="4"/>
      </c>
      <c r="K17" s="151">
        <f t="shared" si="5"/>
        <v>9</v>
      </c>
      <c r="L17" s="151">
        <f t="shared" si="6"/>
        <v>7</v>
      </c>
      <c r="M17" s="151">
        <f t="shared" si="7"/>
        <v>9</v>
      </c>
      <c r="N17" s="151">
        <f t="shared" si="8"/>
        <v>8</v>
      </c>
      <c r="O17" s="151">
        <f t="shared" si="9"/>
        <v>12</v>
      </c>
      <c r="P17" s="151">
        <f t="shared" si="10"/>
      </c>
      <c r="Q17" s="151">
        <f t="shared" si="11"/>
      </c>
      <c r="R17" s="151">
        <f t="shared" si="12"/>
      </c>
      <c r="S17" s="151">
        <f t="shared" si="13"/>
      </c>
      <c r="T17" s="151">
        <f t="shared" si="14"/>
      </c>
      <c r="U17" s="152">
        <f t="shared" si="15"/>
      </c>
      <c r="V17" s="153" t="s">
        <v>144</v>
      </c>
      <c r="W17" s="51">
        <f>VLOOKUP($A17,TeamsData!$A$2:$N$99,12,FALSE)</f>
        <v>6</v>
      </c>
      <c r="X17" s="58">
        <v>72</v>
      </c>
      <c r="Y17" s="58">
        <v>0</v>
      </c>
      <c r="Z17" s="58">
        <v>15</v>
      </c>
      <c r="AA17" s="58">
        <v>0</v>
      </c>
      <c r="AB17" s="58">
        <v>9</v>
      </c>
      <c r="AC17" s="58">
        <v>7</v>
      </c>
      <c r="AD17" s="58">
        <v>9</v>
      </c>
      <c r="AE17" s="58">
        <v>8</v>
      </c>
      <c r="AF17" s="58">
        <v>12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 t="s">
        <v>144</v>
      </c>
      <c r="AN17" s="51">
        <f>VLOOKUP($A17,TeamsData!$A$2:$N$99,11,FALSE)</f>
        <v>133</v>
      </c>
    </row>
    <row r="18" spans="1:40" ht="12.75">
      <c r="A18" s="157">
        <v>3</v>
      </c>
      <c r="B18" s="140">
        <f t="shared" si="1"/>
      </c>
      <c r="C18" s="51">
        <f>IF($A18&lt;&gt;$A17,VLOOKUP($A18,TeamsData!$A$2:$N$99,2,FALSE),"")</f>
      </c>
      <c r="D18" s="51">
        <f>IF($A18&lt;&gt;$A17,VLOOKUP($A18,TeamsData!$A$2:$N$99,3,FALSE),"")</f>
      </c>
      <c r="E18" s="139">
        <v>2</v>
      </c>
      <c r="F18" s="58">
        <v>92</v>
      </c>
      <c r="G18" s="139">
        <v>66</v>
      </c>
      <c r="H18" s="139">
        <f t="shared" si="2"/>
      </c>
      <c r="I18" s="139">
        <f t="shared" si="3"/>
      </c>
      <c r="J18" s="139">
        <f t="shared" si="4"/>
      </c>
      <c r="K18" s="139">
        <f t="shared" si="5"/>
        <v>6</v>
      </c>
      <c r="L18" s="139">
        <f t="shared" si="6"/>
        <v>7</v>
      </c>
      <c r="M18" s="139">
        <f t="shared" si="7"/>
        <v>5</v>
      </c>
      <c r="N18" s="139">
        <f t="shared" si="8"/>
        <v>8</v>
      </c>
      <c r="O18" s="139">
        <f t="shared" si="9"/>
      </c>
      <c r="P18" s="139">
        <f t="shared" si="10"/>
      </c>
      <c r="Q18" s="139">
        <f t="shared" si="11"/>
      </c>
      <c r="R18" s="139">
        <f t="shared" si="12"/>
      </c>
      <c r="S18" s="139">
        <f t="shared" si="13"/>
      </c>
      <c r="T18" s="139">
        <f t="shared" si="14"/>
      </c>
      <c r="U18" s="142">
        <f t="shared" si="15"/>
      </c>
      <c r="V18" s="153" t="s">
        <v>154</v>
      </c>
      <c r="W18" s="51">
        <f>VLOOKUP($A18,TeamsData!$A$2:$N$99,12,FALSE)</f>
        <v>6</v>
      </c>
      <c r="X18" s="58">
        <v>66</v>
      </c>
      <c r="Y18" s="58">
        <v>0</v>
      </c>
      <c r="Z18" s="58">
        <v>0</v>
      </c>
      <c r="AA18" s="58">
        <v>0</v>
      </c>
      <c r="AB18" s="58">
        <v>6</v>
      </c>
      <c r="AC18" s="58">
        <v>7</v>
      </c>
      <c r="AD18" s="58">
        <v>5</v>
      </c>
      <c r="AE18" s="58">
        <v>8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 t="s">
        <v>154</v>
      </c>
      <c r="AN18" s="51">
        <f>VLOOKUP($A18,TeamsData!$A$2:$N$99,11,FALSE)</f>
        <v>133</v>
      </c>
    </row>
    <row r="19" spans="1:40" ht="13.5" thickBot="1">
      <c r="A19" s="157">
        <v>3</v>
      </c>
      <c r="B19" s="159">
        <f t="shared" si="1"/>
      </c>
      <c r="C19" s="160">
        <f>IF($A19&lt;&gt;$A18,VLOOKUP($A19,TeamsData!$A$2:$N$99,2,FALSE),"")</f>
      </c>
      <c r="D19" s="160">
        <f>IF($A19&lt;&gt;$A18,VLOOKUP($A19,TeamsData!$A$2:$N$99,3,FALSE),"")</f>
      </c>
      <c r="E19" s="53">
        <v>3</v>
      </c>
      <c r="F19" s="161">
        <v>133</v>
      </c>
      <c r="G19" s="173">
        <v>72</v>
      </c>
      <c r="H19" s="173">
        <f t="shared" si="2"/>
        <v>9</v>
      </c>
      <c r="I19" s="173">
        <f t="shared" si="3"/>
        <v>15</v>
      </c>
      <c r="J19" s="173">
        <f t="shared" si="4"/>
      </c>
      <c r="K19" s="173">
        <f t="shared" si="5"/>
        <v>6</v>
      </c>
      <c r="L19" s="173">
        <f t="shared" si="6"/>
        <v>14</v>
      </c>
      <c r="M19" s="173">
        <f t="shared" si="7"/>
        <v>9</v>
      </c>
      <c r="N19" s="173">
        <f t="shared" si="8"/>
        <v>8</v>
      </c>
      <c r="O19" s="173">
        <f t="shared" si="9"/>
      </c>
      <c r="P19" s="173">
        <f t="shared" si="10"/>
      </c>
      <c r="Q19" s="173">
        <f t="shared" si="11"/>
      </c>
      <c r="R19" s="173">
        <f t="shared" si="12"/>
      </c>
      <c r="S19" s="173">
        <f t="shared" si="13"/>
      </c>
      <c r="T19" s="173">
        <f t="shared" si="14"/>
      </c>
      <c r="U19" s="174">
        <f t="shared" si="15"/>
      </c>
      <c r="V19" s="153" t="s">
        <v>166</v>
      </c>
      <c r="W19" s="51">
        <f>VLOOKUP($A19,TeamsData!$A$2:$N$99,12,FALSE)</f>
        <v>6</v>
      </c>
      <c r="X19" s="58">
        <v>72</v>
      </c>
      <c r="Y19" s="58">
        <v>9</v>
      </c>
      <c r="Z19" s="58">
        <v>15</v>
      </c>
      <c r="AA19" s="58">
        <v>0</v>
      </c>
      <c r="AB19" s="58">
        <v>6</v>
      </c>
      <c r="AC19" s="58">
        <v>14</v>
      </c>
      <c r="AD19" s="58">
        <v>9</v>
      </c>
      <c r="AE19" s="58">
        <v>8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 t="s">
        <v>166</v>
      </c>
      <c r="AN19" s="51">
        <f>VLOOKUP($A19,TeamsData!$A$2:$N$99,11,FALSE)</f>
        <v>133</v>
      </c>
    </row>
    <row r="20" spans="1:40" ht="12.75">
      <c r="A20" s="157">
        <v>14</v>
      </c>
      <c r="B20" s="136">
        <f t="shared" si="1"/>
        <v>7</v>
      </c>
      <c r="C20" s="143">
        <f>IF($A20&lt;&gt;$A19,VLOOKUP($A20,TeamsData!$A$2:$N$99,2,FALSE),"")</f>
        <v>5221</v>
      </c>
      <c r="D20" s="143" t="str">
        <f>IF($A20&lt;&gt;$A19,VLOOKUP($A20,TeamsData!$A$2:$N$99,3,FALSE),"")</f>
        <v>Extreme Kennedy</v>
      </c>
      <c r="E20" s="135">
        <v>1</v>
      </c>
      <c r="F20" s="144">
        <v>133</v>
      </c>
      <c r="G20" s="167">
        <v>72</v>
      </c>
      <c r="H20" s="167">
        <f t="shared" si="2"/>
        <v>9</v>
      </c>
      <c r="I20" s="167">
        <f t="shared" si="3"/>
      </c>
      <c r="J20" s="167">
        <f t="shared" si="4"/>
      </c>
      <c r="K20" s="167">
        <f t="shared" si="5"/>
        <v>9</v>
      </c>
      <c r="L20" s="167">
        <f t="shared" si="6"/>
        <v>14</v>
      </c>
      <c r="M20" s="167">
        <f t="shared" si="7"/>
        <v>9</v>
      </c>
      <c r="N20" s="167">
        <f t="shared" si="8"/>
        <v>8</v>
      </c>
      <c r="O20" s="167">
        <f t="shared" si="9"/>
        <v>12</v>
      </c>
      <c r="P20" s="167">
        <f t="shared" si="10"/>
      </c>
      <c r="Q20" s="167">
        <f t="shared" si="11"/>
      </c>
      <c r="R20" s="167">
        <f t="shared" si="12"/>
      </c>
      <c r="S20" s="167">
        <f t="shared" si="13"/>
      </c>
      <c r="T20" s="167">
        <f t="shared" si="14"/>
      </c>
      <c r="U20" s="168">
        <f t="shared" si="15"/>
      </c>
      <c r="V20" s="154" t="s">
        <v>129</v>
      </c>
      <c r="W20" s="51">
        <f>VLOOKUP($A20,TeamsData!$A$2:$N$99,12,FALSE)</f>
        <v>7</v>
      </c>
      <c r="X20" s="58">
        <v>72</v>
      </c>
      <c r="Y20" s="58">
        <v>9</v>
      </c>
      <c r="Z20" s="58">
        <v>0</v>
      </c>
      <c r="AA20" s="58">
        <v>0</v>
      </c>
      <c r="AB20" s="58">
        <v>9</v>
      </c>
      <c r="AC20" s="58">
        <v>14</v>
      </c>
      <c r="AD20" s="58">
        <v>9</v>
      </c>
      <c r="AE20" s="58">
        <v>8</v>
      </c>
      <c r="AF20" s="58">
        <v>12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133" t="s">
        <v>129</v>
      </c>
      <c r="AN20" s="51">
        <f>VLOOKUP($A20,TeamsData!$A$2:$N$99,11,FALSE)</f>
        <v>133</v>
      </c>
    </row>
    <row r="21" spans="1:40" ht="12.75">
      <c r="A21" s="157">
        <v>14</v>
      </c>
      <c r="B21" s="140">
        <f t="shared" si="1"/>
      </c>
      <c r="C21" s="51">
        <f>IF($A21&lt;&gt;$A20,VLOOKUP($A21,TeamsData!$A$2:$N$99,2,FALSE),"")</f>
      </c>
      <c r="D21" s="51">
        <f>IF($A21&lt;&gt;$A20,VLOOKUP($A21,TeamsData!$A$2:$N$99,3,FALSE),"")</f>
      </c>
      <c r="E21" s="139">
        <v>2</v>
      </c>
      <c r="F21" s="58">
        <v>124</v>
      </c>
      <c r="G21" s="139">
        <v>66</v>
      </c>
      <c r="H21" s="139">
        <f t="shared" si="2"/>
      </c>
      <c r="I21" s="139">
        <f t="shared" si="3"/>
      </c>
      <c r="J21" s="139">
        <f t="shared" si="4"/>
      </c>
      <c r="K21" s="139">
        <f t="shared" si="5"/>
        <v>9</v>
      </c>
      <c r="L21" s="139">
        <f t="shared" si="6"/>
        <v>24</v>
      </c>
      <c r="M21" s="139">
        <f t="shared" si="7"/>
        <v>5</v>
      </c>
      <c r="N21" s="139">
        <f t="shared" si="8"/>
        <v>8</v>
      </c>
      <c r="O21" s="139">
        <f t="shared" si="9"/>
        <v>12</v>
      </c>
      <c r="P21" s="139">
        <f t="shared" si="10"/>
      </c>
      <c r="Q21" s="139">
        <f t="shared" si="11"/>
      </c>
      <c r="R21" s="139">
        <f t="shared" si="12"/>
      </c>
      <c r="S21" s="139">
        <f t="shared" si="13"/>
      </c>
      <c r="T21" s="139">
        <f t="shared" si="14"/>
      </c>
      <c r="U21" s="142">
        <f t="shared" si="15"/>
      </c>
      <c r="V21" s="153" t="s">
        <v>146</v>
      </c>
      <c r="W21" s="51">
        <f>VLOOKUP($A21,TeamsData!$A$2:$N$99,12,FALSE)</f>
        <v>7</v>
      </c>
      <c r="X21" s="58">
        <v>66</v>
      </c>
      <c r="Y21" s="58">
        <v>0</v>
      </c>
      <c r="Z21" s="58">
        <v>0</v>
      </c>
      <c r="AA21" s="58">
        <v>0</v>
      </c>
      <c r="AB21" s="58">
        <v>9</v>
      </c>
      <c r="AC21" s="58">
        <v>24</v>
      </c>
      <c r="AD21" s="58">
        <v>5</v>
      </c>
      <c r="AE21" s="58">
        <v>8</v>
      </c>
      <c r="AF21" s="58">
        <v>12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 t="s">
        <v>146</v>
      </c>
      <c r="AN21" s="51">
        <f>VLOOKUP($A21,TeamsData!$A$2:$N$99,11,FALSE)</f>
        <v>133</v>
      </c>
    </row>
    <row r="22" spans="1:40" ht="13.5" thickBot="1">
      <c r="A22" s="157">
        <v>14</v>
      </c>
      <c r="B22" s="146">
        <f t="shared" si="1"/>
      </c>
      <c r="C22" s="147">
        <f>IF($A22&lt;&gt;$A21,VLOOKUP($A22,TeamsData!$A$2:$N$99,2,FALSE),"")</f>
      </c>
      <c r="D22" s="147">
        <f>IF($A22&lt;&gt;$A21,VLOOKUP($A22,TeamsData!$A$2:$N$99,3,FALSE),"")</f>
      </c>
      <c r="E22" s="148">
        <v>3</v>
      </c>
      <c r="F22" s="166">
        <v>119</v>
      </c>
      <c r="G22" s="148">
        <v>72</v>
      </c>
      <c r="H22" s="148">
        <f t="shared" si="2"/>
        <v>9</v>
      </c>
      <c r="I22" s="148">
        <f t="shared" si="3"/>
      </c>
      <c r="J22" s="148">
        <f t="shared" si="4"/>
      </c>
      <c r="K22" s="148">
        <f t="shared" si="5"/>
        <v>9</v>
      </c>
      <c r="L22" s="148">
        <f t="shared" si="6"/>
      </c>
      <c r="M22" s="148">
        <f t="shared" si="7"/>
        <v>9</v>
      </c>
      <c r="N22" s="148">
        <f t="shared" si="8"/>
        <v>8</v>
      </c>
      <c r="O22" s="148">
        <f t="shared" si="9"/>
        <v>12</v>
      </c>
      <c r="P22" s="148">
        <f t="shared" si="10"/>
      </c>
      <c r="Q22" s="148">
        <f t="shared" si="11"/>
      </c>
      <c r="R22" s="148">
        <f t="shared" si="12"/>
      </c>
      <c r="S22" s="148">
        <f t="shared" si="13"/>
      </c>
      <c r="T22" s="148">
        <f t="shared" si="14"/>
      </c>
      <c r="U22" s="150">
        <f t="shared" si="15"/>
      </c>
      <c r="V22" s="153" t="s">
        <v>158</v>
      </c>
      <c r="W22" s="51">
        <f>VLOOKUP($A22,TeamsData!$A$2:$N$99,12,FALSE)</f>
        <v>7</v>
      </c>
      <c r="X22" s="58">
        <v>72</v>
      </c>
      <c r="Y22" s="58">
        <v>9</v>
      </c>
      <c r="Z22" s="58">
        <v>0</v>
      </c>
      <c r="AA22" s="58">
        <v>0</v>
      </c>
      <c r="AB22" s="58">
        <v>9</v>
      </c>
      <c r="AC22" s="58">
        <v>0</v>
      </c>
      <c r="AD22" s="58">
        <v>9</v>
      </c>
      <c r="AE22" s="58">
        <v>8</v>
      </c>
      <c r="AF22" s="58">
        <v>12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 t="s">
        <v>158</v>
      </c>
      <c r="AN22" s="51">
        <f>VLOOKUP($A22,TeamsData!$A$2:$N$99,11,FALSE)</f>
        <v>133</v>
      </c>
    </row>
    <row r="23" spans="1:40" ht="12.75">
      <c r="A23" s="157">
        <v>6</v>
      </c>
      <c r="B23" s="137">
        <f t="shared" si="1"/>
        <v>8</v>
      </c>
      <c r="C23" s="138">
        <f>IF($A23&lt;&gt;$A22,VLOOKUP($A23,TeamsData!$A$2:$N$99,2,FALSE),"")</f>
        <v>8947</v>
      </c>
      <c r="D23" s="138" t="str">
        <f>IF($A23&lt;&gt;$A22,VLOOKUP($A23,TeamsData!$A$2:$N$99,3,FALSE),"")</f>
        <v>40 Loyola SAPlings</v>
      </c>
      <c r="E23" s="151">
        <v>1</v>
      </c>
      <c r="F23" s="59">
        <v>103</v>
      </c>
      <c r="G23" s="151">
        <v>60</v>
      </c>
      <c r="H23" s="151">
        <f t="shared" si="2"/>
      </c>
      <c r="I23" s="151">
        <f t="shared" si="3"/>
      </c>
      <c r="J23" s="151">
        <f t="shared" si="4"/>
      </c>
      <c r="K23" s="151">
        <f t="shared" si="5"/>
      </c>
      <c r="L23" s="151">
        <f t="shared" si="6"/>
        <v>21</v>
      </c>
      <c r="M23" s="151">
        <f t="shared" si="7"/>
        <v>5</v>
      </c>
      <c r="N23" s="151">
        <f t="shared" si="8"/>
        <v>8</v>
      </c>
      <c r="O23" s="151">
        <f t="shared" si="9"/>
      </c>
      <c r="P23" s="151">
        <f t="shared" si="10"/>
      </c>
      <c r="Q23" s="151">
        <f t="shared" si="11"/>
      </c>
      <c r="R23" s="151">
        <f t="shared" si="12"/>
      </c>
      <c r="S23" s="151">
        <f t="shared" si="13"/>
      </c>
      <c r="T23" s="151">
        <f t="shared" si="14"/>
      </c>
      <c r="U23" s="152">
        <f t="shared" si="15"/>
        <v>9</v>
      </c>
      <c r="V23" s="154" t="s">
        <v>119</v>
      </c>
      <c r="W23" s="51">
        <f>VLOOKUP($A23,TeamsData!$A$2:$N$99,12,FALSE)</f>
        <v>8</v>
      </c>
      <c r="X23" s="58">
        <v>60</v>
      </c>
      <c r="Y23" s="58">
        <v>0</v>
      </c>
      <c r="Z23" s="58">
        <v>0</v>
      </c>
      <c r="AA23" s="58">
        <v>0</v>
      </c>
      <c r="AB23" s="58">
        <v>0</v>
      </c>
      <c r="AC23" s="58">
        <v>21</v>
      </c>
      <c r="AD23" s="58">
        <v>5</v>
      </c>
      <c r="AE23" s="58">
        <v>8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9</v>
      </c>
      <c r="AM23" s="133" t="s">
        <v>119</v>
      </c>
      <c r="AN23" s="51">
        <f>VLOOKUP($A23,TeamsData!$A$2:$N$99,11,FALSE)</f>
        <v>124</v>
      </c>
    </row>
    <row r="24" spans="1:40" ht="12.75">
      <c r="A24" s="157">
        <v>6</v>
      </c>
      <c r="B24" s="140">
        <f t="shared" si="1"/>
      </c>
      <c r="C24" s="51">
        <f>IF($A24&lt;&gt;$A23,VLOOKUP($A24,TeamsData!$A$2:$N$99,2,FALSE),"")</f>
      </c>
      <c r="D24" s="51">
        <f>IF($A24&lt;&gt;$A23,VLOOKUP($A24,TeamsData!$A$2:$N$99,3,FALSE),"")</f>
      </c>
      <c r="E24" s="139">
        <v>2</v>
      </c>
      <c r="F24" s="58">
        <v>87</v>
      </c>
      <c r="G24" s="139">
        <v>60</v>
      </c>
      <c r="H24" s="139">
        <f t="shared" si="2"/>
      </c>
      <c r="I24" s="139">
        <f t="shared" si="3"/>
      </c>
      <c r="J24" s="139">
        <f t="shared" si="4"/>
      </c>
      <c r="K24" s="139">
        <f t="shared" si="5"/>
      </c>
      <c r="L24" s="139">
        <f t="shared" si="6"/>
        <v>14</v>
      </c>
      <c r="M24" s="139">
        <f t="shared" si="7"/>
        <v>5</v>
      </c>
      <c r="N24" s="139">
        <f t="shared" si="8"/>
        <v>8</v>
      </c>
      <c r="O24" s="139">
        <f t="shared" si="9"/>
      </c>
      <c r="P24" s="139">
        <f t="shared" si="10"/>
      </c>
      <c r="Q24" s="139">
        <f t="shared" si="11"/>
      </c>
      <c r="R24" s="139">
        <f t="shared" si="12"/>
      </c>
      <c r="S24" s="139">
        <f t="shared" si="13"/>
      </c>
      <c r="T24" s="139">
        <f t="shared" si="14"/>
      </c>
      <c r="U24" s="142">
        <f t="shared" si="15"/>
      </c>
      <c r="V24" s="153" t="s">
        <v>133</v>
      </c>
      <c r="W24" s="51">
        <f>VLOOKUP($A24,TeamsData!$A$2:$N$99,12,FALSE)</f>
        <v>8</v>
      </c>
      <c r="X24" s="58">
        <v>60</v>
      </c>
      <c r="Y24" s="58">
        <v>0</v>
      </c>
      <c r="Z24" s="58">
        <v>0</v>
      </c>
      <c r="AA24" s="58">
        <v>0</v>
      </c>
      <c r="AB24" s="58">
        <v>0</v>
      </c>
      <c r="AC24" s="58">
        <v>14</v>
      </c>
      <c r="AD24" s="58">
        <v>5</v>
      </c>
      <c r="AE24" s="58">
        <v>8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 t="s">
        <v>133</v>
      </c>
      <c r="AN24" s="51">
        <f>VLOOKUP($A24,TeamsData!$A$2:$N$99,11,FALSE)</f>
        <v>124</v>
      </c>
    </row>
    <row r="25" spans="1:40" ht="13.5" thickBot="1">
      <c r="A25" s="157">
        <v>6</v>
      </c>
      <c r="B25" s="159">
        <f t="shared" si="1"/>
      </c>
      <c r="C25" s="160">
        <f>IF($A25&lt;&gt;$A24,VLOOKUP($A25,TeamsData!$A$2:$N$99,2,FALSE),"")</f>
      </c>
      <c r="D25" s="160">
        <f>IF($A25&lt;&gt;$A24,VLOOKUP($A25,TeamsData!$A$2:$N$99,3,FALSE),"")</f>
      </c>
      <c r="E25" s="53">
        <v>3</v>
      </c>
      <c r="F25" s="161">
        <v>124</v>
      </c>
      <c r="G25" s="173">
        <v>66</v>
      </c>
      <c r="H25" s="173">
        <f t="shared" si="2"/>
      </c>
      <c r="I25" s="173">
        <f t="shared" si="3"/>
        <v>15</v>
      </c>
      <c r="J25" s="173">
        <f t="shared" si="4"/>
      </c>
      <c r="K25" s="173">
        <f t="shared" si="5"/>
      </c>
      <c r="L25" s="173">
        <f t="shared" si="6"/>
        <v>21</v>
      </c>
      <c r="M25" s="173">
        <f t="shared" si="7"/>
        <v>5</v>
      </c>
      <c r="N25" s="173">
        <f t="shared" si="8"/>
        <v>8</v>
      </c>
      <c r="O25" s="173">
        <f t="shared" si="9"/>
      </c>
      <c r="P25" s="173">
        <f t="shared" si="10"/>
      </c>
      <c r="Q25" s="173">
        <f t="shared" si="11"/>
      </c>
      <c r="R25" s="173">
        <f t="shared" si="12"/>
      </c>
      <c r="S25" s="173">
        <f t="shared" si="13"/>
      </c>
      <c r="T25" s="173">
        <f t="shared" si="14"/>
      </c>
      <c r="U25" s="174">
        <f t="shared" si="15"/>
        <v>9</v>
      </c>
      <c r="V25" s="153" t="s">
        <v>161</v>
      </c>
      <c r="W25" s="51">
        <f>VLOOKUP($A25,TeamsData!$A$2:$N$99,12,FALSE)</f>
        <v>8</v>
      </c>
      <c r="X25" s="58">
        <v>66</v>
      </c>
      <c r="Y25" s="58">
        <v>0</v>
      </c>
      <c r="Z25" s="58">
        <v>15</v>
      </c>
      <c r="AA25" s="58">
        <v>0</v>
      </c>
      <c r="AB25" s="58">
        <v>0</v>
      </c>
      <c r="AC25" s="58">
        <v>21</v>
      </c>
      <c r="AD25" s="58">
        <v>5</v>
      </c>
      <c r="AE25" s="58">
        <v>8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9</v>
      </c>
      <c r="AM25" s="58" t="s">
        <v>161</v>
      </c>
      <c r="AN25" s="51">
        <f>VLOOKUP($A25,TeamsData!$A$2:$N$99,11,FALSE)</f>
        <v>124</v>
      </c>
    </row>
    <row r="26" spans="1:40" ht="12.75">
      <c r="A26" s="157">
        <v>9</v>
      </c>
      <c r="B26" s="136">
        <f t="shared" si="1"/>
        <v>9</v>
      </c>
      <c r="C26" s="143">
        <f>IF($A26&lt;&gt;$A25,VLOOKUP($A26,TeamsData!$A$2:$N$99,2,FALSE),"")</f>
        <v>6373</v>
      </c>
      <c r="D26" s="143" t="str">
        <f>IF($A26&lt;&gt;$A25,VLOOKUP($A26,TeamsData!$A$2:$N$99,3,FALSE),"")</f>
        <v>Kung Food</v>
      </c>
      <c r="E26" s="135">
        <v>1</v>
      </c>
      <c r="F26" s="165">
        <v>98</v>
      </c>
      <c r="G26" s="135">
        <v>60</v>
      </c>
      <c r="H26" s="135">
        <f t="shared" si="2"/>
        <v>9</v>
      </c>
      <c r="I26" s="135">
        <f t="shared" si="3"/>
      </c>
      <c r="J26" s="135">
        <f t="shared" si="4"/>
      </c>
      <c r="K26" s="135">
        <f t="shared" si="5"/>
        <v>9</v>
      </c>
      <c r="L26" s="135">
        <f t="shared" si="6"/>
        <v>7</v>
      </c>
      <c r="M26" s="135">
        <f t="shared" si="7"/>
        <v>9</v>
      </c>
      <c r="N26" s="135">
        <f t="shared" si="8"/>
        <v>4</v>
      </c>
      <c r="O26" s="135">
        <f t="shared" si="9"/>
      </c>
      <c r="P26" s="135">
        <f t="shared" si="10"/>
      </c>
      <c r="Q26" s="135">
        <f t="shared" si="11"/>
      </c>
      <c r="R26" s="135">
        <f t="shared" si="12"/>
      </c>
      <c r="S26" s="135">
        <f t="shared" si="13"/>
      </c>
      <c r="T26" s="135">
        <f t="shared" si="14"/>
      </c>
      <c r="U26" s="145">
        <f t="shared" si="15"/>
      </c>
      <c r="V26" s="154" t="s">
        <v>124</v>
      </c>
      <c r="W26" s="51">
        <f>VLOOKUP($A26,TeamsData!$A$2:$N$99,12,FALSE)</f>
        <v>9</v>
      </c>
      <c r="X26" s="58">
        <v>60</v>
      </c>
      <c r="Y26" s="58">
        <v>9</v>
      </c>
      <c r="Z26" s="58">
        <v>0</v>
      </c>
      <c r="AA26" s="58">
        <v>0</v>
      </c>
      <c r="AB26" s="58">
        <v>9</v>
      </c>
      <c r="AC26" s="58">
        <v>7</v>
      </c>
      <c r="AD26" s="58">
        <v>9</v>
      </c>
      <c r="AE26" s="58">
        <v>4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133" t="s">
        <v>124</v>
      </c>
      <c r="AN26" s="51">
        <f>VLOOKUP($A26,TeamsData!$A$2:$N$99,11,FALSE)</f>
        <v>122</v>
      </c>
    </row>
    <row r="27" spans="1:40" ht="12.75">
      <c r="A27" s="157">
        <v>9</v>
      </c>
      <c r="B27" s="140">
        <f t="shared" si="1"/>
      </c>
      <c r="C27" s="51">
        <f>IF($A27&lt;&gt;$A26,VLOOKUP($A27,TeamsData!$A$2:$N$99,2,FALSE),"")</f>
      </c>
      <c r="D27" s="51">
        <f>IF($A27&lt;&gt;$A26,VLOOKUP($A27,TeamsData!$A$2:$N$99,3,FALSE),"")</f>
      </c>
      <c r="E27" s="139">
        <v>2</v>
      </c>
      <c r="F27" s="58">
        <v>114</v>
      </c>
      <c r="G27" s="139">
        <v>72</v>
      </c>
      <c r="H27" s="139">
        <f t="shared" si="2"/>
        <v>9</v>
      </c>
      <c r="I27" s="139">
        <f t="shared" si="3"/>
      </c>
      <c r="J27" s="139">
        <f t="shared" si="4"/>
      </c>
      <c r="K27" s="139">
        <f t="shared" si="5"/>
        <v>9</v>
      </c>
      <c r="L27" s="139">
        <f t="shared" si="6"/>
        <v>7</v>
      </c>
      <c r="M27" s="139">
        <f t="shared" si="7"/>
        <v>9</v>
      </c>
      <c r="N27" s="139">
        <f t="shared" si="8"/>
        <v>8</v>
      </c>
      <c r="O27" s="139">
        <f t="shared" si="9"/>
      </c>
      <c r="P27" s="139">
        <f t="shared" si="10"/>
      </c>
      <c r="Q27" s="139">
        <f t="shared" si="11"/>
      </c>
      <c r="R27" s="139">
        <f t="shared" si="12"/>
      </c>
      <c r="S27" s="139">
        <f t="shared" si="13"/>
      </c>
      <c r="T27" s="139">
        <f t="shared" si="14"/>
      </c>
      <c r="U27" s="142">
        <f t="shared" si="15"/>
      </c>
      <c r="V27" s="153" t="s">
        <v>135</v>
      </c>
      <c r="W27" s="51">
        <f>VLOOKUP($A27,TeamsData!$A$2:$N$99,12,FALSE)</f>
        <v>9</v>
      </c>
      <c r="X27" s="58">
        <v>72</v>
      </c>
      <c r="Y27" s="58">
        <v>9</v>
      </c>
      <c r="Z27" s="58">
        <v>0</v>
      </c>
      <c r="AA27" s="58">
        <v>0</v>
      </c>
      <c r="AB27" s="58">
        <v>9</v>
      </c>
      <c r="AC27" s="58">
        <v>7</v>
      </c>
      <c r="AD27" s="58">
        <v>9</v>
      </c>
      <c r="AE27" s="58">
        <v>8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 t="s">
        <v>135</v>
      </c>
      <c r="AN27" s="51">
        <f>VLOOKUP($A27,TeamsData!$A$2:$N$99,11,FALSE)</f>
        <v>122</v>
      </c>
    </row>
    <row r="28" spans="1:40" ht="13.5" thickBot="1">
      <c r="A28" s="157">
        <v>9</v>
      </c>
      <c r="B28" s="146">
        <f t="shared" si="1"/>
      </c>
      <c r="C28" s="147">
        <f>IF($A28&lt;&gt;$A27,VLOOKUP($A28,TeamsData!$A$2:$N$99,2,FALSE),"")</f>
      </c>
      <c r="D28" s="147">
        <f>IF($A28&lt;&gt;$A27,VLOOKUP($A28,TeamsData!$A$2:$N$99,3,FALSE),"")</f>
      </c>
      <c r="E28" s="148">
        <v>3</v>
      </c>
      <c r="F28" s="149">
        <v>122</v>
      </c>
      <c r="G28" s="169">
        <v>72</v>
      </c>
      <c r="H28" s="169">
        <f t="shared" si="2"/>
      </c>
      <c r="I28" s="169">
        <f t="shared" si="3"/>
      </c>
      <c r="J28" s="169">
        <f t="shared" si="4"/>
        <v>14</v>
      </c>
      <c r="K28" s="169">
        <f t="shared" si="5"/>
        <v>9</v>
      </c>
      <c r="L28" s="169">
        <f t="shared" si="6"/>
        <v>14</v>
      </c>
      <c r="M28" s="169">
        <f t="shared" si="7"/>
        <v>9</v>
      </c>
      <c r="N28" s="169">
        <f t="shared" si="8"/>
        <v>4</v>
      </c>
      <c r="O28" s="169">
        <f t="shared" si="9"/>
      </c>
      <c r="P28" s="169">
        <f t="shared" si="10"/>
      </c>
      <c r="Q28" s="169">
        <f t="shared" si="11"/>
      </c>
      <c r="R28" s="169">
        <f t="shared" si="12"/>
      </c>
      <c r="S28" s="169">
        <f t="shared" si="13"/>
      </c>
      <c r="T28" s="169">
        <f t="shared" si="14"/>
      </c>
      <c r="U28" s="170">
        <f t="shared" si="15"/>
      </c>
      <c r="V28" s="153" t="s">
        <v>145</v>
      </c>
      <c r="W28" s="51">
        <f>VLOOKUP($A28,TeamsData!$A$2:$N$99,12,FALSE)</f>
        <v>9</v>
      </c>
      <c r="X28" s="58">
        <v>72</v>
      </c>
      <c r="Y28" s="58">
        <v>0</v>
      </c>
      <c r="Z28" s="58">
        <v>0</v>
      </c>
      <c r="AA28" s="58">
        <v>14</v>
      </c>
      <c r="AB28" s="58">
        <v>9</v>
      </c>
      <c r="AC28" s="58">
        <v>14</v>
      </c>
      <c r="AD28" s="58">
        <v>9</v>
      </c>
      <c r="AE28" s="58">
        <v>4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 t="s">
        <v>145</v>
      </c>
      <c r="AN28" s="51">
        <f>VLOOKUP($A28,TeamsData!$A$2:$N$99,11,FALSE)</f>
        <v>122</v>
      </c>
    </row>
    <row r="29" spans="1:40" ht="12.75">
      <c r="A29" s="157">
        <v>15</v>
      </c>
      <c r="B29" s="137">
        <f t="shared" si="1"/>
        <v>10</v>
      </c>
      <c r="C29" s="138">
        <f>IF($A29&lt;&gt;$A28,VLOOKUP($A29,TeamsData!$A$2:$N$99,2,FALSE),"")</f>
        <v>3927</v>
      </c>
      <c r="D29" s="138" t="str">
        <f>IF($A29&lt;&gt;$A28,VLOOKUP($A29,TeamsData!$A$2:$N$99,3,FALSE),"")</f>
        <v>Hazardous Waste</v>
      </c>
      <c r="E29" s="151">
        <v>1</v>
      </c>
      <c r="F29" s="59">
        <v>80</v>
      </c>
      <c r="G29" s="151">
        <v>66</v>
      </c>
      <c r="H29" s="151">
        <f t="shared" si="2"/>
      </c>
      <c r="I29" s="151">
        <f t="shared" si="3"/>
      </c>
      <c r="J29" s="151">
        <f t="shared" si="4"/>
      </c>
      <c r="K29" s="151">
        <f t="shared" si="5"/>
        <v>9</v>
      </c>
      <c r="L29" s="151">
        <f t="shared" si="6"/>
      </c>
      <c r="M29" s="151">
        <f t="shared" si="7"/>
        <v>5</v>
      </c>
      <c r="N29" s="151">
        <f t="shared" si="8"/>
      </c>
      <c r="O29" s="151">
        <f t="shared" si="9"/>
      </c>
      <c r="P29" s="151">
        <f t="shared" si="10"/>
      </c>
      <c r="Q29" s="151">
        <f t="shared" si="11"/>
      </c>
      <c r="R29" s="151">
        <f t="shared" si="12"/>
      </c>
      <c r="S29" s="151">
        <f t="shared" si="13"/>
      </c>
      <c r="T29" s="151">
        <f t="shared" si="14"/>
      </c>
      <c r="U29" s="152">
        <f t="shared" si="15"/>
      </c>
      <c r="V29" s="154" t="s">
        <v>128</v>
      </c>
      <c r="W29" s="51">
        <f>VLOOKUP($A29,TeamsData!$A$2:$N$99,12,FALSE)</f>
        <v>10</v>
      </c>
      <c r="X29" s="58">
        <v>66</v>
      </c>
      <c r="Y29" s="58">
        <v>0</v>
      </c>
      <c r="Z29" s="58">
        <v>0</v>
      </c>
      <c r="AA29" s="58">
        <v>0</v>
      </c>
      <c r="AB29" s="58">
        <v>9</v>
      </c>
      <c r="AC29" s="58">
        <v>0</v>
      </c>
      <c r="AD29" s="58">
        <v>5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133" t="s">
        <v>128</v>
      </c>
      <c r="AN29" s="51">
        <f>VLOOKUP($A29,TeamsData!$A$2:$N$99,11,FALSE)</f>
        <v>113</v>
      </c>
    </row>
    <row r="30" spans="1:40" ht="12.75">
      <c r="A30" s="157">
        <v>15</v>
      </c>
      <c r="B30" s="140">
        <f t="shared" si="1"/>
      </c>
      <c r="C30" s="51">
        <f>IF($A30&lt;&gt;$A29,VLOOKUP($A30,TeamsData!$A$2:$N$99,2,FALSE),"")</f>
      </c>
      <c r="D30" s="51">
        <f>IF($A30&lt;&gt;$A29,VLOOKUP($A30,TeamsData!$A$2:$N$99,3,FALSE),"")</f>
      </c>
      <c r="E30" s="139">
        <v>2</v>
      </c>
      <c r="F30" s="141">
        <v>113</v>
      </c>
      <c r="G30" s="171">
        <v>66</v>
      </c>
      <c r="H30" s="171">
        <f t="shared" si="2"/>
        <v>9</v>
      </c>
      <c r="I30" s="171">
        <f t="shared" si="3"/>
      </c>
      <c r="J30" s="171">
        <f t="shared" si="4"/>
      </c>
      <c r="K30" s="171">
        <f t="shared" si="5"/>
        <v>9</v>
      </c>
      <c r="L30" s="171">
        <f t="shared" si="6"/>
        <v>7</v>
      </c>
      <c r="M30" s="171">
        <f t="shared" si="7"/>
        <v>9</v>
      </c>
      <c r="N30" s="171">
        <f t="shared" si="8"/>
        <v>4</v>
      </c>
      <c r="O30" s="171">
        <f t="shared" si="9"/>
      </c>
      <c r="P30" s="171">
        <f t="shared" si="10"/>
      </c>
      <c r="Q30" s="171">
        <f t="shared" si="11"/>
      </c>
      <c r="R30" s="171">
        <f t="shared" si="12"/>
      </c>
      <c r="S30" s="171">
        <f t="shared" si="13"/>
      </c>
      <c r="T30" s="171">
        <f t="shared" si="14"/>
      </c>
      <c r="U30" s="172">
        <f t="shared" si="15"/>
        <v>9</v>
      </c>
      <c r="V30" s="153" t="s">
        <v>139</v>
      </c>
      <c r="W30" s="51">
        <f>VLOOKUP($A30,TeamsData!$A$2:$N$99,12,FALSE)</f>
        <v>10</v>
      </c>
      <c r="X30" s="58">
        <v>66</v>
      </c>
      <c r="Y30" s="58">
        <v>9</v>
      </c>
      <c r="Z30" s="58">
        <v>0</v>
      </c>
      <c r="AA30" s="58">
        <v>0</v>
      </c>
      <c r="AB30" s="58">
        <v>9</v>
      </c>
      <c r="AC30" s="58">
        <v>7</v>
      </c>
      <c r="AD30" s="58">
        <v>9</v>
      </c>
      <c r="AE30" s="58">
        <v>4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9</v>
      </c>
      <c r="AM30" s="58" t="s">
        <v>139</v>
      </c>
      <c r="AN30" s="51">
        <f>VLOOKUP($A30,TeamsData!$A$2:$N$99,11,FALSE)</f>
        <v>113</v>
      </c>
    </row>
    <row r="31" spans="1:40" ht="13.5" thickBot="1">
      <c r="A31" s="157">
        <v>15</v>
      </c>
      <c r="B31" s="159">
        <f t="shared" si="1"/>
      </c>
      <c r="C31" s="160">
        <f>IF($A31&lt;&gt;$A30,VLOOKUP($A31,TeamsData!$A$2:$N$99,2,FALSE),"")</f>
      </c>
      <c r="D31" s="160">
        <f>IF($A31&lt;&gt;$A30,VLOOKUP($A31,TeamsData!$A$2:$N$99,3,FALSE),"")</f>
      </c>
      <c r="E31" s="53">
        <v>3</v>
      </c>
      <c r="F31" s="134">
        <v>96</v>
      </c>
      <c r="G31" s="53">
        <v>60</v>
      </c>
      <c r="H31" s="53">
        <f t="shared" si="2"/>
        <v>9</v>
      </c>
      <c r="I31" s="53">
        <f t="shared" si="3"/>
      </c>
      <c r="J31" s="53">
        <f t="shared" si="4"/>
      </c>
      <c r="K31" s="53">
        <f t="shared" si="5"/>
        <v>9</v>
      </c>
      <c r="L31" s="53">
        <f t="shared" si="6"/>
      </c>
      <c r="M31" s="53">
        <f t="shared" si="7"/>
        <v>5</v>
      </c>
      <c r="N31" s="53">
        <f t="shared" si="8"/>
        <v>4</v>
      </c>
      <c r="O31" s="53">
        <f t="shared" si="9"/>
      </c>
      <c r="P31" s="53">
        <f t="shared" si="10"/>
      </c>
      <c r="Q31" s="53">
        <f t="shared" si="11"/>
      </c>
      <c r="R31" s="53">
        <f t="shared" si="12"/>
      </c>
      <c r="S31" s="53">
        <f t="shared" si="13"/>
      </c>
      <c r="T31" s="53">
        <f t="shared" si="14"/>
      </c>
      <c r="U31" s="162">
        <f t="shared" si="15"/>
        <v>9</v>
      </c>
      <c r="V31" s="153" t="s">
        <v>155</v>
      </c>
      <c r="W31" s="51">
        <f>VLOOKUP($A31,TeamsData!$A$2:$N$99,12,FALSE)</f>
        <v>10</v>
      </c>
      <c r="X31" s="58">
        <v>60</v>
      </c>
      <c r="Y31" s="58">
        <v>9</v>
      </c>
      <c r="Z31" s="58">
        <v>0</v>
      </c>
      <c r="AA31" s="58">
        <v>0</v>
      </c>
      <c r="AB31" s="58">
        <v>9</v>
      </c>
      <c r="AC31" s="58">
        <v>0</v>
      </c>
      <c r="AD31" s="58">
        <v>5</v>
      </c>
      <c r="AE31" s="58">
        <v>4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9</v>
      </c>
      <c r="AM31" s="58" t="s">
        <v>155</v>
      </c>
      <c r="AN31" s="51">
        <f>VLOOKUP($A31,TeamsData!$A$2:$N$99,11,FALSE)</f>
        <v>113</v>
      </c>
    </row>
    <row r="32" spans="1:40" ht="12.75">
      <c r="A32" s="157">
        <v>2</v>
      </c>
      <c r="B32" s="136">
        <f t="shared" si="1"/>
        <v>11</v>
      </c>
      <c r="C32" s="143">
        <f>IF($A32&lt;&gt;$A31,VLOOKUP($A32,TeamsData!$A$2:$N$99,2,FALSE),"")</f>
        <v>3583</v>
      </c>
      <c r="D32" s="143" t="str">
        <f>IF($A32&lt;&gt;$A31,VLOOKUP($A32,TeamsData!$A$2:$N$99,3,FALSE),"")</f>
        <v>Mat Scientists</v>
      </c>
      <c r="E32" s="135">
        <v>1</v>
      </c>
      <c r="F32" s="165">
        <v>110</v>
      </c>
      <c r="G32" s="135">
        <v>72</v>
      </c>
      <c r="H32" s="135">
        <f t="shared" si="2"/>
        <v>9</v>
      </c>
      <c r="I32" s="135">
        <f t="shared" si="3"/>
      </c>
      <c r="J32" s="135">
        <f t="shared" si="4"/>
      </c>
      <c r="K32" s="135">
        <f t="shared" si="5"/>
        <v>6</v>
      </c>
      <c r="L32" s="135">
        <f t="shared" si="6"/>
        <v>14</v>
      </c>
      <c r="M32" s="135">
        <f t="shared" si="7"/>
      </c>
      <c r="N32" s="135">
        <f t="shared" si="8"/>
      </c>
      <c r="O32" s="135">
        <f t="shared" si="9"/>
      </c>
      <c r="P32" s="135">
        <f t="shared" si="10"/>
      </c>
      <c r="Q32" s="135">
        <f t="shared" si="11"/>
      </c>
      <c r="R32" s="135">
        <f t="shared" si="12"/>
      </c>
      <c r="S32" s="135">
        <f t="shared" si="13"/>
      </c>
      <c r="T32" s="135">
        <f t="shared" si="14"/>
      </c>
      <c r="U32" s="145">
        <f t="shared" si="15"/>
        <v>9</v>
      </c>
      <c r="V32" s="153" t="s">
        <v>141</v>
      </c>
      <c r="W32" s="51">
        <f>VLOOKUP($A32,TeamsData!$A$2:$N$99,12,FALSE)</f>
        <v>11</v>
      </c>
      <c r="X32" s="58">
        <v>72</v>
      </c>
      <c r="Y32" s="58">
        <v>9</v>
      </c>
      <c r="Z32" s="58">
        <v>0</v>
      </c>
      <c r="AA32" s="58">
        <v>0</v>
      </c>
      <c r="AB32" s="58">
        <v>6</v>
      </c>
      <c r="AC32" s="58">
        <v>14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9</v>
      </c>
      <c r="AM32" s="58" t="s">
        <v>141</v>
      </c>
      <c r="AN32" s="51">
        <f>VLOOKUP($A32,TeamsData!$A$2:$N$99,11,FALSE)</f>
        <v>112</v>
      </c>
    </row>
    <row r="33" spans="1:40" ht="12.75">
      <c r="A33" s="157">
        <v>2</v>
      </c>
      <c r="B33" s="140">
        <f t="shared" si="1"/>
      </c>
      <c r="C33" s="51">
        <f>IF($A33&lt;&gt;$A32,VLOOKUP($A33,TeamsData!$A$2:$N$99,2,FALSE),"")</f>
      </c>
      <c r="D33" s="51">
        <f>IF($A33&lt;&gt;$A32,VLOOKUP($A33,TeamsData!$A$2:$N$99,3,FALSE),"")</f>
      </c>
      <c r="E33" s="139">
        <v>2</v>
      </c>
      <c r="F33" s="58">
        <v>107</v>
      </c>
      <c r="G33" s="139">
        <v>72</v>
      </c>
      <c r="H33" s="139">
        <f t="shared" si="2"/>
        <v>9</v>
      </c>
      <c r="I33" s="139">
        <f t="shared" si="3"/>
      </c>
      <c r="J33" s="139">
        <f t="shared" si="4"/>
      </c>
      <c r="K33" s="139">
        <f t="shared" si="5"/>
        <v>6</v>
      </c>
      <c r="L33" s="139">
        <f t="shared" si="6"/>
        <v>7</v>
      </c>
      <c r="M33" s="139">
        <f t="shared" si="7"/>
      </c>
      <c r="N33" s="139">
        <f t="shared" si="8"/>
        <v>4</v>
      </c>
      <c r="O33" s="139">
        <f t="shared" si="9"/>
      </c>
      <c r="P33" s="139">
        <f t="shared" si="10"/>
      </c>
      <c r="Q33" s="139">
        <f t="shared" si="11"/>
      </c>
      <c r="R33" s="139">
        <f t="shared" si="12"/>
      </c>
      <c r="S33" s="139">
        <f t="shared" si="13"/>
      </c>
      <c r="T33" s="139">
        <f t="shared" si="14"/>
      </c>
      <c r="U33" s="142">
        <f t="shared" si="15"/>
        <v>9</v>
      </c>
      <c r="V33" s="153" t="s">
        <v>152</v>
      </c>
      <c r="W33" s="51">
        <f>VLOOKUP($A33,TeamsData!$A$2:$N$99,12,FALSE)</f>
        <v>11</v>
      </c>
      <c r="X33" s="58">
        <v>72</v>
      </c>
      <c r="Y33" s="58">
        <v>9</v>
      </c>
      <c r="Z33" s="58">
        <v>0</v>
      </c>
      <c r="AA33" s="58">
        <v>0</v>
      </c>
      <c r="AB33" s="58">
        <v>6</v>
      </c>
      <c r="AC33" s="58">
        <v>7</v>
      </c>
      <c r="AD33" s="58">
        <v>0</v>
      </c>
      <c r="AE33" s="58">
        <v>4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9</v>
      </c>
      <c r="AM33" s="58" t="s">
        <v>152</v>
      </c>
      <c r="AN33" s="51">
        <f>VLOOKUP($A33,TeamsData!$A$2:$N$99,11,FALSE)</f>
        <v>112</v>
      </c>
    </row>
    <row r="34" spans="1:40" ht="13.5" thickBot="1">
      <c r="A34" s="157">
        <v>2</v>
      </c>
      <c r="B34" s="146">
        <f t="shared" si="1"/>
      </c>
      <c r="C34" s="147">
        <f>IF($A34&lt;&gt;$A33,VLOOKUP($A34,TeamsData!$A$2:$N$99,2,FALSE),"")</f>
      </c>
      <c r="D34" s="147">
        <f>IF($A34&lt;&gt;$A33,VLOOKUP($A34,TeamsData!$A$2:$N$99,3,FALSE),"")</f>
      </c>
      <c r="E34" s="148">
        <v>3</v>
      </c>
      <c r="F34" s="149">
        <v>112</v>
      </c>
      <c r="G34" s="169">
        <v>72</v>
      </c>
      <c r="H34" s="169">
        <f t="shared" si="2"/>
        <v>9</v>
      </c>
      <c r="I34" s="169">
        <f t="shared" si="3"/>
      </c>
      <c r="J34" s="169">
        <f t="shared" si="4"/>
      </c>
      <c r="K34" s="169">
        <f t="shared" si="5"/>
        <v>6</v>
      </c>
      <c r="L34" s="169">
        <f t="shared" si="6"/>
        <v>12</v>
      </c>
      <c r="M34" s="169">
        <f t="shared" si="7"/>
      </c>
      <c r="N34" s="169">
        <f t="shared" si="8"/>
        <v>4</v>
      </c>
      <c r="O34" s="169">
        <f t="shared" si="9"/>
      </c>
      <c r="P34" s="169">
        <f t="shared" si="10"/>
      </c>
      <c r="Q34" s="169">
        <f t="shared" si="11"/>
      </c>
      <c r="R34" s="169">
        <f t="shared" si="12"/>
      </c>
      <c r="S34" s="169">
        <f t="shared" si="13"/>
      </c>
      <c r="T34" s="169">
        <f t="shared" si="14"/>
      </c>
      <c r="U34" s="170">
        <f t="shared" si="15"/>
        <v>9</v>
      </c>
      <c r="V34" s="153" t="s">
        <v>165</v>
      </c>
      <c r="W34" s="51">
        <f>VLOOKUP($A34,TeamsData!$A$2:$N$99,12,FALSE)</f>
        <v>11</v>
      </c>
      <c r="X34" s="58">
        <v>72</v>
      </c>
      <c r="Y34" s="58">
        <v>9</v>
      </c>
      <c r="Z34" s="58">
        <v>0</v>
      </c>
      <c r="AA34" s="58">
        <v>0</v>
      </c>
      <c r="AB34" s="58">
        <v>6</v>
      </c>
      <c r="AC34" s="58">
        <v>12</v>
      </c>
      <c r="AD34" s="58">
        <v>0</v>
      </c>
      <c r="AE34" s="58">
        <v>4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9</v>
      </c>
      <c r="AM34" s="58" t="s">
        <v>165</v>
      </c>
      <c r="AN34" s="51">
        <f>VLOOKUP($A34,TeamsData!$A$2:$N$99,11,FALSE)</f>
        <v>112</v>
      </c>
    </row>
    <row r="35" spans="1:40" ht="12.75">
      <c r="A35" s="157">
        <v>10</v>
      </c>
      <c r="B35" s="137">
        <f t="shared" si="1"/>
        <v>12</v>
      </c>
      <c r="C35" s="138">
        <f>IF($A35&lt;&gt;$A34,VLOOKUP($A35,TeamsData!$A$2:$N$99,2,FALSE),"")</f>
        <v>7667</v>
      </c>
      <c r="D35" s="138" t="str">
        <f>IF($A35&lt;&gt;$A34,VLOOKUP($A35,TeamsData!$A$2:$N$99,3,FALSE),"")</f>
        <v>Fantastic Lego Legion</v>
      </c>
      <c r="E35" s="151">
        <v>1</v>
      </c>
      <c r="F35" s="59">
        <v>110</v>
      </c>
      <c r="G35" s="151">
        <v>60</v>
      </c>
      <c r="H35" s="151">
        <f t="shared" si="2"/>
      </c>
      <c r="I35" s="151">
        <f t="shared" si="3"/>
      </c>
      <c r="J35" s="151">
        <f t="shared" si="4"/>
      </c>
      <c r="K35" s="151">
        <f t="shared" si="5"/>
      </c>
      <c r="L35" s="151">
        <f t="shared" si="6"/>
        <v>21</v>
      </c>
      <c r="M35" s="151">
        <f t="shared" si="7"/>
      </c>
      <c r="N35" s="151">
        <f t="shared" si="8"/>
      </c>
      <c r="O35" s="151">
        <f t="shared" si="9"/>
      </c>
      <c r="P35" s="151">
        <f t="shared" si="10"/>
      </c>
      <c r="Q35" s="151">
        <f t="shared" si="11"/>
      </c>
      <c r="R35" s="151">
        <f t="shared" si="12"/>
      </c>
      <c r="S35" s="151">
        <f t="shared" si="13"/>
      </c>
      <c r="T35" s="151">
        <f t="shared" si="14"/>
        <v>20</v>
      </c>
      <c r="U35" s="152">
        <f t="shared" si="15"/>
        <v>9</v>
      </c>
      <c r="V35" s="154" t="s">
        <v>123</v>
      </c>
      <c r="W35" s="51">
        <f>VLOOKUP($A35,TeamsData!$A$2:$N$99,12,FALSE)</f>
        <v>12</v>
      </c>
      <c r="X35" s="58">
        <v>60</v>
      </c>
      <c r="Y35" s="58">
        <v>0</v>
      </c>
      <c r="Z35" s="58">
        <v>0</v>
      </c>
      <c r="AA35" s="58">
        <v>0</v>
      </c>
      <c r="AB35" s="58">
        <v>0</v>
      </c>
      <c r="AC35" s="58">
        <v>21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20</v>
      </c>
      <c r="AL35" s="58">
        <v>9</v>
      </c>
      <c r="AM35" s="133" t="s">
        <v>123</v>
      </c>
      <c r="AN35" s="51">
        <f>VLOOKUP($A35,TeamsData!$A$2:$N$99,11,FALSE)</f>
        <v>112</v>
      </c>
    </row>
    <row r="36" spans="1:40" ht="12.75">
      <c r="A36" s="157">
        <v>10</v>
      </c>
      <c r="B36" s="140">
        <f t="shared" si="1"/>
      </c>
      <c r="C36" s="51">
        <f>IF($A36&lt;&gt;$A35,VLOOKUP($A36,TeamsData!$A$2:$N$99,2,FALSE),"")</f>
      </c>
      <c r="D36" s="51">
        <f>IF($A36&lt;&gt;$A35,VLOOKUP($A36,TeamsData!$A$2:$N$99,3,FALSE),"")</f>
      </c>
      <c r="E36" s="139">
        <v>2</v>
      </c>
      <c r="F36" s="141">
        <v>112</v>
      </c>
      <c r="G36" s="171">
        <v>66</v>
      </c>
      <c r="H36" s="171">
        <f t="shared" si="2"/>
      </c>
      <c r="I36" s="171">
        <f t="shared" si="3"/>
      </c>
      <c r="J36" s="171">
        <f t="shared" si="4"/>
      </c>
      <c r="K36" s="171">
        <f t="shared" si="5"/>
      </c>
      <c r="L36" s="171">
        <f t="shared" si="6"/>
        <v>21</v>
      </c>
      <c r="M36" s="171">
        <f t="shared" si="7"/>
      </c>
      <c r="N36" s="171">
        <f t="shared" si="8"/>
      </c>
      <c r="O36" s="171">
        <f t="shared" si="9"/>
      </c>
      <c r="P36" s="171">
        <f t="shared" si="10"/>
      </c>
      <c r="Q36" s="171">
        <f t="shared" si="11"/>
      </c>
      <c r="R36" s="171">
        <f t="shared" si="12"/>
      </c>
      <c r="S36" s="171">
        <f t="shared" si="13"/>
      </c>
      <c r="T36" s="171">
        <f t="shared" si="14"/>
        <v>16</v>
      </c>
      <c r="U36" s="172">
        <f t="shared" si="15"/>
        <v>9</v>
      </c>
      <c r="V36" s="153" t="s">
        <v>138</v>
      </c>
      <c r="W36" s="51">
        <f>VLOOKUP($A36,TeamsData!$A$2:$N$99,12,FALSE)</f>
        <v>12</v>
      </c>
      <c r="X36" s="58">
        <v>66</v>
      </c>
      <c r="Y36" s="58">
        <v>0</v>
      </c>
      <c r="Z36" s="58">
        <v>0</v>
      </c>
      <c r="AA36" s="58">
        <v>0</v>
      </c>
      <c r="AB36" s="58">
        <v>0</v>
      </c>
      <c r="AC36" s="58">
        <v>21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16</v>
      </c>
      <c r="AL36" s="58">
        <v>9</v>
      </c>
      <c r="AM36" s="58" t="s">
        <v>138</v>
      </c>
      <c r="AN36" s="51">
        <f>VLOOKUP($A36,TeamsData!$A$2:$N$99,11,FALSE)</f>
        <v>112</v>
      </c>
    </row>
    <row r="37" spans="1:40" ht="13.5" thickBot="1">
      <c r="A37" s="157">
        <v>10</v>
      </c>
      <c r="B37" s="159">
        <f t="shared" si="1"/>
      </c>
      <c r="C37" s="160">
        <f>IF($A37&lt;&gt;$A36,VLOOKUP($A37,TeamsData!$A$2:$N$99,2,FALSE),"")</f>
      </c>
      <c r="D37" s="160">
        <f>IF($A37&lt;&gt;$A36,VLOOKUP($A37,TeamsData!$A$2:$N$99,3,FALSE),"")</f>
      </c>
      <c r="E37" s="53">
        <v>3</v>
      </c>
      <c r="F37" s="134">
        <v>81</v>
      </c>
      <c r="G37" s="53">
        <v>60</v>
      </c>
      <c r="H37" s="53">
        <f t="shared" si="2"/>
      </c>
      <c r="I37" s="53">
        <f t="shared" si="3"/>
      </c>
      <c r="J37" s="53">
        <f t="shared" si="4"/>
      </c>
      <c r="K37" s="53">
        <f t="shared" si="5"/>
      </c>
      <c r="L37" s="53">
        <f t="shared" si="6"/>
        <v>21</v>
      </c>
      <c r="M37" s="53">
        <f t="shared" si="7"/>
      </c>
      <c r="N37" s="53">
        <f t="shared" si="8"/>
      </c>
      <c r="O37" s="53">
        <f t="shared" si="9"/>
      </c>
      <c r="P37" s="53">
        <f t="shared" si="10"/>
      </c>
      <c r="Q37" s="53">
        <f t="shared" si="11"/>
      </c>
      <c r="R37" s="53">
        <f t="shared" si="12"/>
      </c>
      <c r="S37" s="53">
        <f t="shared" si="13"/>
      </c>
      <c r="T37" s="53">
        <f t="shared" si="14"/>
      </c>
      <c r="U37" s="162">
        <f t="shared" si="15"/>
      </c>
      <c r="V37" s="153" t="s">
        <v>150</v>
      </c>
      <c r="W37" s="51">
        <f>VLOOKUP($A37,TeamsData!$A$2:$N$99,12,FALSE)</f>
        <v>12</v>
      </c>
      <c r="X37" s="58">
        <v>60</v>
      </c>
      <c r="Y37" s="58">
        <v>0</v>
      </c>
      <c r="Z37" s="58">
        <v>0</v>
      </c>
      <c r="AA37" s="58">
        <v>0</v>
      </c>
      <c r="AB37" s="58">
        <v>0</v>
      </c>
      <c r="AC37" s="58">
        <v>21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 t="s">
        <v>150</v>
      </c>
      <c r="AN37" s="51">
        <f>VLOOKUP($A37,TeamsData!$A$2:$N$99,11,FALSE)</f>
        <v>112</v>
      </c>
    </row>
    <row r="38" spans="1:40" ht="12.75">
      <c r="A38" s="157">
        <v>4</v>
      </c>
      <c r="B38" s="136">
        <f t="shared" si="1"/>
        <v>13</v>
      </c>
      <c r="C38" s="143">
        <f>IF($A38&lt;&gt;$A37,VLOOKUP($A38,TeamsData!$A$2:$N$99,2,FALSE),"")</f>
        <v>8043</v>
      </c>
      <c r="D38" s="143" t="str">
        <f>IF($A38&lt;&gt;$A37,VLOOKUP($A38,TeamsData!$A$2:$N$99,3,FALSE),"")</f>
        <v>MINITW</v>
      </c>
      <c r="E38" s="135">
        <v>1</v>
      </c>
      <c r="F38" s="165">
        <v>99</v>
      </c>
      <c r="G38" s="135">
        <v>60</v>
      </c>
      <c r="H38" s="135">
        <f t="shared" si="2"/>
      </c>
      <c r="I38" s="135">
        <f t="shared" si="3"/>
      </c>
      <c r="J38" s="135">
        <f t="shared" si="4"/>
        <v>14</v>
      </c>
      <c r="K38" s="135">
        <f t="shared" si="5"/>
      </c>
      <c r="L38" s="135">
        <f t="shared" si="6"/>
        <v>21</v>
      </c>
      <c r="M38" s="135">
        <f t="shared" si="7"/>
      </c>
      <c r="N38" s="135">
        <f t="shared" si="8"/>
        <v>4</v>
      </c>
      <c r="O38" s="135">
        <f t="shared" si="9"/>
      </c>
      <c r="P38" s="135">
        <f t="shared" si="10"/>
      </c>
      <c r="Q38" s="135">
        <f t="shared" si="11"/>
      </c>
      <c r="R38" s="135">
        <f t="shared" si="12"/>
      </c>
      <c r="S38" s="135">
        <f t="shared" si="13"/>
      </c>
      <c r="T38" s="135">
        <f t="shared" si="14"/>
      </c>
      <c r="U38" s="145">
        <f t="shared" si="15"/>
      </c>
      <c r="V38" s="153" t="s">
        <v>143</v>
      </c>
      <c r="W38" s="51">
        <f>VLOOKUP($A38,TeamsData!$A$2:$N$99,12,FALSE)</f>
        <v>13</v>
      </c>
      <c r="X38" s="58">
        <v>60</v>
      </c>
      <c r="Y38" s="58">
        <v>0</v>
      </c>
      <c r="Z38" s="58">
        <v>0</v>
      </c>
      <c r="AA38" s="58">
        <v>14</v>
      </c>
      <c r="AB38" s="58">
        <v>0</v>
      </c>
      <c r="AC38" s="58">
        <v>21</v>
      </c>
      <c r="AD38" s="58">
        <v>0</v>
      </c>
      <c r="AE38" s="58">
        <v>4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 t="s">
        <v>143</v>
      </c>
      <c r="AN38" s="51">
        <f>VLOOKUP($A38,TeamsData!$A$2:$N$99,11,FALSE)</f>
        <v>109</v>
      </c>
    </row>
    <row r="39" spans="1:40" ht="12.75">
      <c r="A39" s="157">
        <v>4</v>
      </c>
      <c r="B39" s="140">
        <f t="shared" si="1"/>
      </c>
      <c r="C39" s="51">
        <f>IF($A39&lt;&gt;$A38,VLOOKUP($A39,TeamsData!$A$2:$N$99,2,FALSE),"")</f>
      </c>
      <c r="D39" s="51">
        <f>IF($A39&lt;&gt;$A38,VLOOKUP($A39,TeamsData!$A$2:$N$99,3,FALSE),"")</f>
      </c>
      <c r="E39" s="139">
        <v>2</v>
      </c>
      <c r="F39" s="141">
        <v>109</v>
      </c>
      <c r="G39" s="171">
        <v>66</v>
      </c>
      <c r="H39" s="171">
        <f t="shared" si="2"/>
      </c>
      <c r="I39" s="171">
        <f t="shared" si="3"/>
      </c>
      <c r="J39" s="171">
        <f t="shared" si="4"/>
      </c>
      <c r="K39" s="171">
        <f t="shared" si="5"/>
        <v>9</v>
      </c>
      <c r="L39" s="171">
        <f t="shared" si="6"/>
        <v>21</v>
      </c>
      <c r="M39" s="171">
        <f t="shared" si="7"/>
      </c>
      <c r="N39" s="171">
        <f t="shared" si="8"/>
        <v>4</v>
      </c>
      <c r="O39" s="171">
        <f t="shared" si="9"/>
      </c>
      <c r="P39" s="171">
        <f t="shared" si="10"/>
      </c>
      <c r="Q39" s="171">
        <f t="shared" si="11"/>
      </c>
      <c r="R39" s="171">
        <f t="shared" si="12"/>
      </c>
      <c r="S39" s="171">
        <f t="shared" si="13"/>
      </c>
      <c r="T39" s="171">
        <f t="shared" si="14"/>
      </c>
      <c r="U39" s="172">
        <f t="shared" si="15"/>
        <v>9</v>
      </c>
      <c r="V39" s="153" t="s">
        <v>151</v>
      </c>
      <c r="W39" s="51">
        <f>VLOOKUP($A39,TeamsData!$A$2:$N$99,12,FALSE)</f>
        <v>13</v>
      </c>
      <c r="X39" s="58">
        <v>66</v>
      </c>
      <c r="Y39" s="58">
        <v>0</v>
      </c>
      <c r="Z39" s="58">
        <v>0</v>
      </c>
      <c r="AA39" s="58">
        <v>0</v>
      </c>
      <c r="AB39" s="58">
        <v>9</v>
      </c>
      <c r="AC39" s="58">
        <v>21</v>
      </c>
      <c r="AD39" s="58">
        <v>0</v>
      </c>
      <c r="AE39" s="58">
        <v>4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9</v>
      </c>
      <c r="AM39" s="58" t="s">
        <v>151</v>
      </c>
      <c r="AN39" s="51">
        <f>VLOOKUP($A39,TeamsData!$A$2:$N$99,11,FALSE)</f>
        <v>109</v>
      </c>
    </row>
    <row r="40" spans="1:40" ht="13.5" thickBot="1">
      <c r="A40" s="157">
        <v>4</v>
      </c>
      <c r="B40" s="146">
        <f t="shared" si="1"/>
      </c>
      <c r="C40" s="147">
        <f>IF($A40&lt;&gt;$A39,VLOOKUP($A40,TeamsData!$A$2:$N$99,2,FALSE),"")</f>
      </c>
      <c r="D40" s="147">
        <f>IF($A40&lt;&gt;$A39,VLOOKUP($A40,TeamsData!$A$2:$N$99,3,FALSE),"")</f>
      </c>
      <c r="E40" s="148">
        <v>3</v>
      </c>
      <c r="F40" s="166">
        <v>89</v>
      </c>
      <c r="G40" s="148">
        <v>60</v>
      </c>
      <c r="H40" s="148">
        <f t="shared" si="2"/>
        <v>9</v>
      </c>
      <c r="I40" s="148">
        <f t="shared" si="3"/>
      </c>
      <c r="J40" s="148">
        <f t="shared" si="4"/>
      </c>
      <c r="K40" s="148">
        <f t="shared" si="5"/>
        <v>9</v>
      </c>
      <c r="L40" s="148">
        <f t="shared" si="6"/>
        <v>7</v>
      </c>
      <c r="M40" s="148">
        <f t="shared" si="7"/>
      </c>
      <c r="N40" s="148">
        <f t="shared" si="8"/>
        <v>4</v>
      </c>
      <c r="O40" s="148">
        <f t="shared" si="9"/>
      </c>
      <c r="P40" s="148">
        <f t="shared" si="10"/>
      </c>
      <c r="Q40" s="148">
        <f t="shared" si="11"/>
      </c>
      <c r="R40" s="148">
        <f t="shared" si="12"/>
      </c>
      <c r="S40" s="148">
        <f t="shared" si="13"/>
      </c>
      <c r="T40" s="148">
        <f t="shared" si="14"/>
      </c>
      <c r="U40" s="150">
        <f t="shared" si="15"/>
      </c>
      <c r="V40" s="153" t="s">
        <v>164</v>
      </c>
      <c r="W40" s="51">
        <f>VLOOKUP($A40,TeamsData!$A$2:$N$99,12,FALSE)</f>
        <v>13</v>
      </c>
      <c r="X40" s="58">
        <v>60</v>
      </c>
      <c r="Y40" s="58">
        <v>9</v>
      </c>
      <c r="Z40" s="58">
        <v>0</v>
      </c>
      <c r="AA40" s="58">
        <v>0</v>
      </c>
      <c r="AB40" s="58">
        <v>9</v>
      </c>
      <c r="AC40" s="58">
        <v>7</v>
      </c>
      <c r="AD40" s="58">
        <v>0</v>
      </c>
      <c r="AE40" s="58">
        <v>4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 t="s">
        <v>164</v>
      </c>
      <c r="AN40" s="51">
        <f>VLOOKUP($A40,TeamsData!$A$2:$N$99,11,FALSE)</f>
        <v>109</v>
      </c>
    </row>
    <row r="41" spans="1:40" ht="12.75">
      <c r="A41" s="157">
        <v>8</v>
      </c>
      <c r="B41" s="137">
        <f t="shared" si="1"/>
        <v>14</v>
      </c>
      <c r="C41" s="138">
        <f>IF($A41&lt;&gt;$A40,VLOOKUP($A41,TeamsData!$A$2:$N$99,2,FALSE),"")</f>
        <v>6222</v>
      </c>
      <c r="D41" s="138" t="str">
        <f>IF($A41&lt;&gt;$A40,VLOOKUP($A41,TeamsData!$A$2:$N$99,3,FALSE),"")</f>
        <v>Adroits</v>
      </c>
      <c r="E41" s="151">
        <v>1</v>
      </c>
      <c r="F41" s="59">
        <v>93</v>
      </c>
      <c r="G41" s="151">
        <v>60</v>
      </c>
      <c r="H41" s="151">
        <f t="shared" si="2"/>
        <v>9</v>
      </c>
      <c r="I41" s="151">
        <f t="shared" si="3"/>
        <v>15</v>
      </c>
      <c r="J41" s="151">
        <f t="shared" si="4"/>
      </c>
      <c r="K41" s="151">
        <f t="shared" si="5"/>
      </c>
      <c r="L41" s="151">
        <f t="shared" si="6"/>
      </c>
      <c r="M41" s="151">
        <f t="shared" si="7"/>
        <v>5</v>
      </c>
      <c r="N41" s="151">
        <f t="shared" si="8"/>
        <v>4</v>
      </c>
      <c r="O41" s="151">
        <f t="shared" si="9"/>
      </c>
      <c r="P41" s="151">
        <f t="shared" si="10"/>
      </c>
      <c r="Q41" s="151">
        <f t="shared" si="11"/>
      </c>
      <c r="R41" s="151">
        <f t="shared" si="12"/>
      </c>
      <c r="S41" s="151">
        <f t="shared" si="13"/>
      </c>
      <c r="T41" s="151">
        <f t="shared" si="14"/>
      </c>
      <c r="U41" s="152">
        <f t="shared" si="15"/>
      </c>
      <c r="V41" s="154" t="s">
        <v>122</v>
      </c>
      <c r="W41" s="51">
        <f>VLOOKUP($A41,TeamsData!$A$2:$N$99,12,FALSE)</f>
        <v>14</v>
      </c>
      <c r="X41" s="58">
        <v>60</v>
      </c>
      <c r="Y41" s="58">
        <v>9</v>
      </c>
      <c r="Z41" s="58">
        <v>15</v>
      </c>
      <c r="AA41" s="58">
        <v>0</v>
      </c>
      <c r="AB41" s="58">
        <v>0</v>
      </c>
      <c r="AC41" s="58">
        <v>0</v>
      </c>
      <c r="AD41" s="58">
        <v>5</v>
      </c>
      <c r="AE41" s="58">
        <v>4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133" t="s">
        <v>122</v>
      </c>
      <c r="AN41" s="51">
        <f>VLOOKUP($A41,TeamsData!$A$2:$N$99,11,FALSE)</f>
        <v>107</v>
      </c>
    </row>
    <row r="42" spans="1:40" ht="12.75">
      <c r="A42" s="157">
        <v>8</v>
      </c>
      <c r="B42" s="140">
        <f t="shared" si="1"/>
      </c>
      <c r="C42" s="51">
        <f>IF($A42&lt;&gt;$A41,VLOOKUP($A42,TeamsData!$A$2:$N$99,2,FALSE),"")</f>
      </c>
      <c r="D42" s="51">
        <f>IF($A42&lt;&gt;$A41,VLOOKUP($A42,TeamsData!$A$2:$N$99,3,FALSE),"")</f>
      </c>
      <c r="E42" s="139">
        <v>2</v>
      </c>
      <c r="F42" s="58">
        <v>87</v>
      </c>
      <c r="G42" s="139">
        <v>72</v>
      </c>
      <c r="H42" s="139">
        <f t="shared" si="2"/>
        <v>9</v>
      </c>
      <c r="I42" s="139">
        <f t="shared" si="3"/>
      </c>
      <c r="J42" s="139">
        <f t="shared" si="4"/>
      </c>
      <c r="K42" s="139">
        <f t="shared" si="5"/>
        <v>6</v>
      </c>
      <c r="L42" s="139">
        <f t="shared" si="6"/>
      </c>
      <c r="M42" s="139">
        <f t="shared" si="7"/>
      </c>
      <c r="N42" s="139">
        <f t="shared" si="8"/>
      </c>
      <c r="O42" s="139">
        <f t="shared" si="9"/>
      </c>
      <c r="P42" s="139">
        <f t="shared" si="10"/>
      </c>
      <c r="Q42" s="139">
        <f t="shared" si="11"/>
      </c>
      <c r="R42" s="139">
        <f t="shared" si="12"/>
      </c>
      <c r="S42" s="139">
        <f t="shared" si="13"/>
      </c>
      <c r="T42" s="139">
        <f t="shared" si="14"/>
      </c>
      <c r="U42" s="142">
        <f t="shared" si="15"/>
      </c>
      <c r="V42" s="153" t="s">
        <v>134</v>
      </c>
      <c r="W42" s="51">
        <f>VLOOKUP($A42,TeamsData!$A$2:$N$99,12,FALSE)</f>
        <v>14</v>
      </c>
      <c r="X42" s="58">
        <v>72</v>
      </c>
      <c r="Y42" s="58">
        <v>9</v>
      </c>
      <c r="Z42" s="58">
        <v>0</v>
      </c>
      <c r="AA42" s="58">
        <v>0</v>
      </c>
      <c r="AB42" s="58">
        <v>6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 t="s">
        <v>134</v>
      </c>
      <c r="AN42" s="51">
        <f>VLOOKUP($A42,TeamsData!$A$2:$N$99,11,FALSE)</f>
        <v>107</v>
      </c>
    </row>
    <row r="43" spans="1:40" ht="13.5" thickBot="1">
      <c r="A43" s="157">
        <v>8</v>
      </c>
      <c r="B43" s="159">
        <f t="shared" si="1"/>
      </c>
      <c r="C43" s="160">
        <f>IF($A43&lt;&gt;$A42,VLOOKUP($A43,TeamsData!$A$2:$N$99,2,FALSE),"")</f>
      </c>
      <c r="D43" s="160">
        <f>IF($A43&lt;&gt;$A42,VLOOKUP($A43,TeamsData!$A$2:$N$99,3,FALSE),"")</f>
      </c>
      <c r="E43" s="53">
        <v>3</v>
      </c>
      <c r="F43" s="161">
        <v>107</v>
      </c>
      <c r="G43" s="173">
        <v>72</v>
      </c>
      <c r="H43" s="173">
        <f t="shared" si="2"/>
        <v>9</v>
      </c>
      <c r="I43" s="173">
        <f t="shared" si="3"/>
      </c>
      <c r="J43" s="173">
        <f t="shared" si="4"/>
      </c>
      <c r="K43" s="173">
        <f t="shared" si="5"/>
        <v>9</v>
      </c>
      <c r="L43" s="173">
        <f t="shared" si="6"/>
      </c>
      <c r="M43" s="173">
        <f t="shared" si="7"/>
      </c>
      <c r="N43" s="173">
        <f t="shared" si="8"/>
      </c>
      <c r="O43" s="173">
        <f t="shared" si="9"/>
      </c>
      <c r="P43" s="173">
        <f t="shared" si="10"/>
      </c>
      <c r="Q43" s="173">
        <f t="shared" si="11"/>
      </c>
      <c r="R43" s="173">
        <f t="shared" si="12"/>
      </c>
      <c r="S43" s="173">
        <f t="shared" si="13"/>
      </c>
      <c r="T43" s="173">
        <f t="shared" si="14"/>
        <v>8</v>
      </c>
      <c r="U43" s="174">
        <f t="shared" si="15"/>
        <v>9</v>
      </c>
      <c r="V43" s="153" t="s">
        <v>148</v>
      </c>
      <c r="W43" s="51">
        <f>VLOOKUP($A43,TeamsData!$A$2:$N$99,12,FALSE)</f>
        <v>14</v>
      </c>
      <c r="X43" s="58">
        <v>72</v>
      </c>
      <c r="Y43" s="58">
        <v>9</v>
      </c>
      <c r="Z43" s="58">
        <v>0</v>
      </c>
      <c r="AA43" s="58">
        <v>0</v>
      </c>
      <c r="AB43" s="58">
        <v>9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8</v>
      </c>
      <c r="AL43" s="58">
        <v>9</v>
      </c>
      <c r="AM43" s="58" t="s">
        <v>148</v>
      </c>
      <c r="AN43" s="51">
        <f>VLOOKUP($A43,TeamsData!$A$2:$N$99,11,FALSE)</f>
        <v>107</v>
      </c>
    </row>
    <row r="44" spans="1:40" ht="12.75">
      <c r="A44" s="157">
        <v>12</v>
      </c>
      <c r="B44" s="136">
        <f t="shared" si="1"/>
        <v>15</v>
      </c>
      <c r="C44" s="143">
        <f>IF($A44&lt;&gt;$A43,VLOOKUP($A44,TeamsData!$A$2:$N$99,2,FALSE),"")</f>
        <v>9738</v>
      </c>
      <c r="D44" s="143" t="str">
        <f>IF($A44&lt;&gt;$A43,VLOOKUP($A44,TeamsData!$A$2:$N$99,3,FALSE),"")</f>
        <v>Alien Calamari</v>
      </c>
      <c r="E44" s="135">
        <v>1</v>
      </c>
      <c r="F44" s="165">
        <v>92</v>
      </c>
      <c r="G44" s="135">
        <v>60</v>
      </c>
      <c r="H44" s="135">
        <f t="shared" si="2"/>
      </c>
      <c r="I44" s="135">
        <f t="shared" si="3"/>
      </c>
      <c r="J44" s="135">
        <f t="shared" si="4"/>
      </c>
      <c r="K44" s="135">
        <f t="shared" si="5"/>
      </c>
      <c r="L44" s="135">
        <f t="shared" si="6"/>
        <v>14</v>
      </c>
      <c r="M44" s="135">
        <f t="shared" si="7"/>
        <v>9</v>
      </c>
      <c r="N44" s="135">
        <f t="shared" si="8"/>
      </c>
      <c r="O44" s="135">
        <f t="shared" si="9"/>
      </c>
      <c r="P44" s="135">
        <f t="shared" si="10"/>
      </c>
      <c r="Q44" s="135">
        <f t="shared" si="11"/>
      </c>
      <c r="R44" s="135">
        <f t="shared" si="12"/>
      </c>
      <c r="S44" s="135">
        <f t="shared" si="13"/>
      </c>
      <c r="T44" s="135">
        <f t="shared" si="14"/>
      </c>
      <c r="U44" s="145">
        <f t="shared" si="15"/>
        <v>9</v>
      </c>
      <c r="V44" s="154" t="s">
        <v>125</v>
      </c>
      <c r="W44" s="51">
        <f>VLOOKUP($A44,TeamsData!$A$2:$N$99,12,FALSE)</f>
        <v>15</v>
      </c>
      <c r="X44" s="58">
        <v>60</v>
      </c>
      <c r="Y44" s="58">
        <v>0</v>
      </c>
      <c r="Z44" s="58">
        <v>0</v>
      </c>
      <c r="AA44" s="58">
        <v>0</v>
      </c>
      <c r="AB44" s="58">
        <v>0</v>
      </c>
      <c r="AC44" s="58">
        <v>14</v>
      </c>
      <c r="AD44" s="58">
        <v>9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9</v>
      </c>
      <c r="AM44" s="133" t="s">
        <v>125</v>
      </c>
      <c r="AN44" s="51">
        <f>VLOOKUP($A44,TeamsData!$A$2:$N$99,11,FALSE)</f>
        <v>103</v>
      </c>
    </row>
    <row r="45" spans="1:40" ht="12.75">
      <c r="A45" s="157">
        <v>12</v>
      </c>
      <c r="B45" s="140">
        <f t="shared" si="1"/>
      </c>
      <c r="C45" s="51">
        <f>IF($A45&lt;&gt;$A44,VLOOKUP($A45,TeamsData!$A$2:$N$99,2,FALSE),"")</f>
      </c>
      <c r="D45" s="51">
        <f>IF($A45&lt;&gt;$A44,VLOOKUP($A45,TeamsData!$A$2:$N$99,3,FALSE),"")</f>
      </c>
      <c r="E45" s="139">
        <v>2</v>
      </c>
      <c r="F45" s="141">
        <v>103</v>
      </c>
      <c r="G45" s="171">
        <v>66</v>
      </c>
      <c r="H45" s="171">
        <f t="shared" si="2"/>
      </c>
      <c r="I45" s="171">
        <f t="shared" si="3"/>
      </c>
      <c r="J45" s="171">
        <f t="shared" si="4"/>
      </c>
      <c r="K45" s="171">
        <f t="shared" si="5"/>
        <v>9</v>
      </c>
      <c r="L45" s="171">
        <f t="shared" si="6"/>
        <v>14</v>
      </c>
      <c r="M45" s="171">
        <f t="shared" si="7"/>
        <v>5</v>
      </c>
      <c r="N45" s="171">
        <f t="shared" si="8"/>
      </c>
      <c r="O45" s="171">
        <f t="shared" si="9"/>
      </c>
      <c r="P45" s="171">
        <f t="shared" si="10"/>
      </c>
      <c r="Q45" s="171">
        <f t="shared" si="11"/>
      </c>
      <c r="R45" s="171">
        <f t="shared" si="12"/>
      </c>
      <c r="S45" s="171">
        <f t="shared" si="13"/>
      </c>
      <c r="T45" s="171">
        <f t="shared" si="14"/>
      </c>
      <c r="U45" s="172">
        <f t="shared" si="15"/>
        <v>9</v>
      </c>
      <c r="V45" s="153" t="s">
        <v>137</v>
      </c>
      <c r="W45" s="51">
        <f>VLOOKUP($A45,TeamsData!$A$2:$N$99,12,FALSE)</f>
        <v>15</v>
      </c>
      <c r="X45" s="58">
        <v>66</v>
      </c>
      <c r="Y45" s="58">
        <v>0</v>
      </c>
      <c r="Z45" s="58">
        <v>0</v>
      </c>
      <c r="AA45" s="58">
        <v>0</v>
      </c>
      <c r="AB45" s="58">
        <v>9</v>
      </c>
      <c r="AC45" s="58">
        <v>14</v>
      </c>
      <c r="AD45" s="58">
        <v>5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9</v>
      </c>
      <c r="AM45" s="58" t="s">
        <v>137</v>
      </c>
      <c r="AN45" s="51">
        <f>VLOOKUP($A45,TeamsData!$A$2:$N$99,11,FALSE)</f>
        <v>103</v>
      </c>
    </row>
    <row r="46" spans="1:40" ht="13.5" thickBot="1">
      <c r="A46" s="157">
        <v>12</v>
      </c>
      <c r="B46" s="146">
        <f t="shared" si="1"/>
      </c>
      <c r="C46" s="147">
        <f>IF($A46&lt;&gt;$A45,VLOOKUP($A46,TeamsData!$A$2:$N$99,2,FALSE),"")</f>
      </c>
      <c r="D46" s="147">
        <f>IF($A46&lt;&gt;$A45,VLOOKUP($A46,TeamsData!$A$2:$N$99,3,FALSE),"")</f>
      </c>
      <c r="E46" s="148">
        <v>3</v>
      </c>
      <c r="F46" s="166">
        <v>88</v>
      </c>
      <c r="G46" s="148">
        <v>60</v>
      </c>
      <c r="H46" s="148">
        <f t="shared" si="2"/>
      </c>
      <c r="I46" s="148">
        <f t="shared" si="3"/>
      </c>
      <c r="J46" s="148">
        <f t="shared" si="4"/>
      </c>
      <c r="K46" s="148">
        <f t="shared" si="5"/>
      </c>
      <c r="L46" s="148">
        <f t="shared" si="6"/>
        <v>14</v>
      </c>
      <c r="M46" s="148">
        <f t="shared" si="7"/>
        <v>5</v>
      </c>
      <c r="N46" s="148">
        <f t="shared" si="8"/>
      </c>
      <c r="O46" s="148">
        <f t="shared" si="9"/>
      </c>
      <c r="P46" s="148">
        <f t="shared" si="10"/>
      </c>
      <c r="Q46" s="148">
        <f t="shared" si="11"/>
      </c>
      <c r="R46" s="148">
        <f t="shared" si="12"/>
      </c>
      <c r="S46" s="148">
        <f t="shared" si="13"/>
      </c>
      <c r="T46" s="148">
        <f t="shared" si="14"/>
      </c>
      <c r="U46" s="150">
        <f t="shared" si="15"/>
        <v>9</v>
      </c>
      <c r="V46" s="153" t="s">
        <v>159</v>
      </c>
      <c r="W46" s="51">
        <f>VLOOKUP($A46,TeamsData!$A$2:$N$99,12,FALSE)</f>
        <v>15</v>
      </c>
      <c r="X46" s="58">
        <v>60</v>
      </c>
      <c r="Y46" s="58">
        <v>0</v>
      </c>
      <c r="Z46" s="58">
        <v>0</v>
      </c>
      <c r="AA46" s="58">
        <v>0</v>
      </c>
      <c r="AB46" s="58">
        <v>0</v>
      </c>
      <c r="AC46" s="58">
        <v>14</v>
      </c>
      <c r="AD46" s="58">
        <v>5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9</v>
      </c>
      <c r="AM46" s="58" t="s">
        <v>159</v>
      </c>
      <c r="AN46" s="51">
        <f>VLOOKUP($A46,TeamsData!$A$2:$N$99,11,FALSE)</f>
        <v>103</v>
      </c>
    </row>
    <row r="47" spans="1:40" ht="12.75">
      <c r="A47" s="157">
        <v>5</v>
      </c>
      <c r="B47" s="137">
        <f t="shared" si="1"/>
        <v>16</v>
      </c>
      <c r="C47" s="138">
        <f>IF($A47&lt;&gt;$A46,VLOOKUP($A47,TeamsData!$A$2:$N$99,2,FALSE),"")</f>
        <v>7940</v>
      </c>
      <c r="D47" s="138" t="str">
        <f>IF($A47&lt;&gt;$A46,VLOOKUP($A47,TeamsData!$A$2:$N$99,3,FALSE),"")</f>
        <v>Gears</v>
      </c>
      <c r="E47" s="151">
        <v>1</v>
      </c>
      <c r="F47" s="59">
        <v>64</v>
      </c>
      <c r="G47" s="151">
        <v>60</v>
      </c>
      <c r="H47" s="151">
        <f t="shared" si="2"/>
      </c>
      <c r="I47" s="151">
        <f t="shared" si="3"/>
      </c>
      <c r="J47" s="151">
        <f t="shared" si="4"/>
      </c>
      <c r="K47" s="151">
        <f t="shared" si="5"/>
      </c>
      <c r="L47" s="151">
        <f t="shared" si="6"/>
      </c>
      <c r="M47" s="151">
        <f t="shared" si="7"/>
      </c>
      <c r="N47" s="151">
        <f t="shared" si="8"/>
        <v>4</v>
      </c>
      <c r="O47" s="151">
        <f t="shared" si="9"/>
      </c>
      <c r="P47" s="151">
        <f t="shared" si="10"/>
      </c>
      <c r="Q47" s="151">
        <f t="shared" si="11"/>
      </c>
      <c r="R47" s="151">
        <f t="shared" si="12"/>
      </c>
      <c r="S47" s="151">
        <f t="shared" si="13"/>
      </c>
      <c r="T47" s="151">
        <f t="shared" si="14"/>
      </c>
      <c r="U47" s="152">
        <f t="shared" si="15"/>
      </c>
      <c r="V47" s="154" t="s">
        <v>120</v>
      </c>
      <c r="W47" s="51">
        <f>VLOOKUP($A47,TeamsData!$A$2:$N$99,12,FALSE)</f>
        <v>16</v>
      </c>
      <c r="X47" s="58">
        <v>60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4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133" t="s">
        <v>120</v>
      </c>
      <c r="AN47" s="51">
        <f>VLOOKUP($A47,TeamsData!$A$2:$N$99,11,FALSE)</f>
        <v>93</v>
      </c>
    </row>
    <row r="48" spans="1:40" ht="12.75">
      <c r="A48" s="157">
        <v>5</v>
      </c>
      <c r="B48" s="140">
        <f t="shared" si="1"/>
      </c>
      <c r="C48" s="51">
        <f>IF($A48&lt;&gt;$A47,VLOOKUP($A48,TeamsData!$A$2:$N$99,2,FALSE),"")</f>
      </c>
      <c r="D48" s="51">
        <f>IF($A48&lt;&gt;$A47,VLOOKUP($A48,TeamsData!$A$2:$N$99,3,FALSE),"")</f>
      </c>
      <c r="E48" s="139">
        <v>2</v>
      </c>
      <c r="F48" s="58">
        <v>63</v>
      </c>
      <c r="G48" s="139">
        <v>54</v>
      </c>
      <c r="H48" s="139">
        <f t="shared" si="2"/>
        <v>9</v>
      </c>
      <c r="I48" s="139">
        <f t="shared" si="3"/>
      </c>
      <c r="J48" s="139">
        <f t="shared" si="4"/>
      </c>
      <c r="K48" s="139">
        <f t="shared" si="5"/>
      </c>
      <c r="L48" s="139">
        <f t="shared" si="6"/>
      </c>
      <c r="M48" s="139">
        <f t="shared" si="7"/>
      </c>
      <c r="N48" s="139">
        <f t="shared" si="8"/>
      </c>
      <c r="O48" s="139">
        <f t="shared" si="9"/>
      </c>
      <c r="P48" s="139">
        <f t="shared" si="10"/>
      </c>
      <c r="Q48" s="139">
        <f t="shared" si="11"/>
      </c>
      <c r="R48" s="139">
        <f t="shared" si="12"/>
      </c>
      <c r="S48" s="139">
        <f t="shared" si="13"/>
      </c>
      <c r="T48" s="139">
        <f t="shared" si="14"/>
      </c>
      <c r="U48" s="142">
        <f t="shared" si="15"/>
      </c>
      <c r="V48" s="154" t="s">
        <v>131</v>
      </c>
      <c r="W48" s="51">
        <f>VLOOKUP($A48,TeamsData!$A$2:$N$99,12,FALSE)</f>
        <v>16</v>
      </c>
      <c r="X48" s="58">
        <v>54</v>
      </c>
      <c r="Y48" s="58">
        <v>9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133" t="s">
        <v>131</v>
      </c>
      <c r="AN48" s="51">
        <f>VLOOKUP($A48,TeamsData!$A$2:$N$99,11,FALSE)</f>
        <v>93</v>
      </c>
    </row>
    <row r="49" spans="1:40" ht="13.5" thickBot="1">
      <c r="A49" s="157">
        <v>5</v>
      </c>
      <c r="B49" s="146">
        <f t="shared" si="1"/>
      </c>
      <c r="C49" s="147">
        <f>IF($A49&lt;&gt;$A48,VLOOKUP($A49,TeamsData!$A$2:$N$99,2,FALSE),"")</f>
      </c>
      <c r="D49" s="147">
        <f>IF($A49&lt;&gt;$A48,VLOOKUP($A49,TeamsData!$A$2:$N$99,3,FALSE),"")</f>
      </c>
      <c r="E49" s="148">
        <v>3</v>
      </c>
      <c r="F49" s="149">
        <v>93</v>
      </c>
      <c r="G49" s="169">
        <v>66</v>
      </c>
      <c r="H49" s="169">
        <f t="shared" si="2"/>
        <v>9</v>
      </c>
      <c r="I49" s="169">
        <f t="shared" si="3"/>
      </c>
      <c r="J49" s="169">
        <f t="shared" si="4"/>
      </c>
      <c r="K49" s="169">
        <f t="shared" si="5"/>
      </c>
      <c r="L49" s="169">
        <f t="shared" si="6"/>
        <v>14</v>
      </c>
      <c r="M49" s="169">
        <f t="shared" si="7"/>
      </c>
      <c r="N49" s="169">
        <f t="shared" si="8"/>
        <v>4</v>
      </c>
      <c r="O49" s="169">
        <f t="shared" si="9"/>
      </c>
      <c r="P49" s="169">
        <f t="shared" si="10"/>
      </c>
      <c r="Q49" s="169">
        <f t="shared" si="11"/>
      </c>
      <c r="R49" s="169">
        <f t="shared" si="12"/>
      </c>
      <c r="S49" s="169">
        <f t="shared" si="13"/>
      </c>
      <c r="T49" s="169">
        <f t="shared" si="14"/>
      </c>
      <c r="U49" s="170">
        <f t="shared" si="15"/>
      </c>
      <c r="V49" s="153" t="s">
        <v>160</v>
      </c>
      <c r="W49" s="51">
        <f>VLOOKUP($A49,TeamsData!$A$2:$N$99,12,FALSE)</f>
        <v>16</v>
      </c>
      <c r="X49" s="58">
        <v>66</v>
      </c>
      <c r="Y49" s="58">
        <v>9</v>
      </c>
      <c r="Z49" s="58">
        <v>0</v>
      </c>
      <c r="AA49" s="58">
        <v>0</v>
      </c>
      <c r="AB49" s="58">
        <v>0</v>
      </c>
      <c r="AC49" s="58">
        <v>14</v>
      </c>
      <c r="AD49" s="58">
        <v>0</v>
      </c>
      <c r="AE49" s="58">
        <v>4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 t="s">
        <v>160</v>
      </c>
      <c r="AN49" s="51">
        <f>VLOOKUP($A49,TeamsData!$A$2:$N$99,11,FALSE)</f>
        <v>93</v>
      </c>
    </row>
    <row r="50" spans="1:22" s="87" customFormat="1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s="87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s="87" customFormat="1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s="87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s="87" customFormat="1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s="87" customFormat="1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s="87" customFormat="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s="87" customFormat="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s="87" customFormat="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s="87" customFormat="1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s="87" customFormat="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2" s="87" customFormat="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s="87" customFormat="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s="87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s="87" customFormat="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s="87" customFormat="1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s="87" customFormat="1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s="87" customFormat="1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2" s="87" customFormat="1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s="87" customFormat="1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1:22" s="87" customFormat="1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s="87" customFormat="1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s="87" customFormat="1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s="87" customFormat="1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s="87" customFormat="1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</sheetData>
  <conditionalFormatting sqref="B2:U49">
    <cfRule type="expression" priority="1" dxfId="0" stopIfTrue="1">
      <formula>MOD($W2,3)=1</formula>
    </cfRule>
    <cfRule type="expression" priority="2" dxfId="1" stopIfTrue="1">
      <formula>MOD($W2,3)=2</formula>
    </cfRule>
    <cfRule type="expression" priority="3" dxfId="2" stopIfTrue="1">
      <formula>MOD($W2,3)=0</formula>
    </cfRule>
  </conditionalFormatting>
  <printOptions horizontalCentered="1" verticalCentered="1"/>
  <pageMargins left="0.25" right="0.25" top="0.25" bottom="0.25" header="0.5" footer="0.5"/>
  <pageSetup horizontalDpi="600" verticalDpi="600" orientation="portrait" r:id="rId1"/>
  <headerFooter alignWithMargins="0">
    <oddHeader>&amp;CLos Altos FLL Tournament Score Details - November 13,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"/>
  <sheetViews>
    <sheetView tabSelected="1" zoomScaleSheetLayoutView="100" workbookViewId="0" topLeftCell="B1">
      <selection activeCell="I9" sqref="I9"/>
    </sheetView>
  </sheetViews>
  <sheetFormatPr defaultColWidth="9.140625" defaultRowHeight="12.75"/>
  <cols>
    <col min="1" max="1" width="8.28125" style="0" customWidth="1"/>
    <col min="2" max="2" width="10.140625" style="0" bestFit="1" customWidth="1"/>
    <col min="5" max="5" width="43.7109375" style="0" bestFit="1" customWidth="1"/>
    <col min="6" max="8" width="7.140625" style="0" bestFit="1" customWidth="1"/>
    <col min="9" max="9" width="30.421875" style="0" customWidth="1"/>
  </cols>
  <sheetData>
    <row r="1" spans="1:9" ht="13.5" customHeight="1">
      <c r="A1" s="179" t="s">
        <v>59</v>
      </c>
      <c r="B1" s="80" t="s">
        <v>58</v>
      </c>
      <c r="C1" s="179" t="s">
        <v>57</v>
      </c>
      <c r="D1" s="179" t="s">
        <v>41</v>
      </c>
      <c r="E1" s="181" t="s">
        <v>65</v>
      </c>
      <c r="F1" s="73" t="s">
        <v>66</v>
      </c>
      <c r="G1" s="73" t="s">
        <v>66</v>
      </c>
      <c r="H1" s="73" t="s">
        <v>66</v>
      </c>
      <c r="I1" s="176"/>
    </row>
    <row r="2" spans="1:9" ht="18" customHeight="1">
      <c r="A2" s="180"/>
      <c r="B2" s="81" t="s">
        <v>67</v>
      </c>
      <c r="C2" s="180"/>
      <c r="D2" s="180"/>
      <c r="E2" s="180"/>
      <c r="F2" s="175">
        <v>1</v>
      </c>
      <c r="G2" s="175">
        <v>2</v>
      </c>
      <c r="H2" s="175">
        <v>3</v>
      </c>
      <c r="I2" s="177" t="s">
        <v>171</v>
      </c>
    </row>
    <row r="3" spans="1:9" ht="21" customHeight="1">
      <c r="A3" s="77">
        <f>IF(TeamsData!$N34=0,"",TeamsData!L34)</f>
        <v>1</v>
      </c>
      <c r="B3" s="78">
        <f>IF(TeamsData!$N34=0,"",TeamsData!K34)</f>
        <v>152</v>
      </c>
      <c r="C3" s="82">
        <f>TeamsData!A34</f>
        <v>1</v>
      </c>
      <c r="D3" s="82">
        <f>TeamsData!B34</f>
        <v>353</v>
      </c>
      <c r="E3" s="79" t="str">
        <f>TeamsData!C34</f>
        <v>The Cyborgs</v>
      </c>
      <c r="F3" s="82">
        <f>TeamsData!AE34</f>
        <v>152</v>
      </c>
      <c r="G3" s="82">
        <f>TeamsData!AF34</f>
        <v>122</v>
      </c>
      <c r="H3" s="82">
        <f>TeamsData!AG34</f>
        <v>150</v>
      </c>
      <c r="I3" s="51" t="s">
        <v>172</v>
      </c>
    </row>
    <row r="4" spans="1:9" ht="21" customHeight="1">
      <c r="A4" s="77">
        <f>IF(TeamsData!$N35=0,"",TeamsData!L35)</f>
        <v>2</v>
      </c>
      <c r="B4" s="78">
        <f>IF(TeamsData!$N35=0,"",TeamsData!K35)</f>
        <v>150</v>
      </c>
      <c r="C4" s="82">
        <f>TeamsData!A35</f>
        <v>16</v>
      </c>
      <c r="D4" s="82">
        <f>TeamsData!B35</f>
        <v>6134</v>
      </c>
      <c r="E4" s="79" t="str">
        <f>TeamsData!C35</f>
        <v>Lightning Bots</v>
      </c>
      <c r="F4" s="82">
        <f>TeamsData!AE35</f>
        <v>90</v>
      </c>
      <c r="G4" s="82">
        <f>TeamsData!AF35</f>
        <v>135</v>
      </c>
      <c r="H4" s="82">
        <f>TeamsData!AG35</f>
        <v>150</v>
      </c>
      <c r="I4" s="178" t="s">
        <v>173</v>
      </c>
    </row>
    <row r="5" spans="1:9" ht="21" customHeight="1">
      <c r="A5" s="77">
        <f>IF(TeamsData!$N36=0,"",TeamsData!L36)</f>
        <v>3</v>
      </c>
      <c r="B5" s="78">
        <f>IF(TeamsData!$N36=0,"",TeamsData!K36)</f>
        <v>144</v>
      </c>
      <c r="C5" s="82">
        <f>TeamsData!A36</f>
        <v>11</v>
      </c>
      <c r="D5" s="82">
        <f>TeamsData!B36</f>
        <v>8627</v>
      </c>
      <c r="E5" s="79" t="str">
        <f>TeamsData!C36</f>
        <v>The Other Team Again</v>
      </c>
      <c r="F5" s="82">
        <f>TeamsData!AE36</f>
        <v>131</v>
      </c>
      <c r="G5" s="82">
        <f>TeamsData!AF36</f>
        <v>124</v>
      </c>
      <c r="H5" s="82">
        <f>TeamsData!AG36</f>
        <v>144</v>
      </c>
      <c r="I5" s="51" t="s">
        <v>172</v>
      </c>
    </row>
    <row r="6" spans="1:9" ht="21" customHeight="1">
      <c r="A6" s="77">
        <f>IF(TeamsData!$N37=0,"",TeamsData!L37)</f>
        <v>4</v>
      </c>
      <c r="B6" s="78">
        <f>IF(TeamsData!$N37=0,"",TeamsData!K37)</f>
        <v>135</v>
      </c>
      <c r="C6" s="82">
        <f>TeamsData!A37</f>
        <v>7</v>
      </c>
      <c r="D6" s="82">
        <f>TeamsData!B37</f>
        <v>6195</v>
      </c>
      <c r="E6" s="79" t="str">
        <f>TeamsData!C37</f>
        <v>SAP0wer4</v>
      </c>
      <c r="F6" s="82">
        <f>TeamsData!AE37</f>
        <v>82</v>
      </c>
      <c r="G6" s="82">
        <f>TeamsData!AF37</f>
        <v>135</v>
      </c>
      <c r="H6" s="82">
        <f>TeamsData!AG37</f>
        <v>96</v>
      </c>
      <c r="I6" s="178" t="s">
        <v>174</v>
      </c>
    </row>
    <row r="7" spans="1:9" ht="21" customHeight="1">
      <c r="A7" s="77">
        <f>IF(TeamsData!$N38=0,"",TeamsData!L38)</f>
        <v>5</v>
      </c>
      <c r="B7" s="78">
        <f>IF(TeamsData!$N38=0,"",TeamsData!K38)</f>
        <v>134</v>
      </c>
      <c r="C7" s="82">
        <f>TeamsData!A38</f>
        <v>13</v>
      </c>
      <c r="D7" s="82">
        <f>TeamsData!B38</f>
        <v>5820</v>
      </c>
      <c r="E7" s="79" t="str">
        <f>TeamsData!C38</f>
        <v>Pieceful Programmers</v>
      </c>
      <c r="F7" s="82">
        <f>TeamsData!AE38</f>
        <v>115</v>
      </c>
      <c r="G7" s="82">
        <f>TeamsData!AF38</f>
        <v>134</v>
      </c>
      <c r="H7" s="82">
        <f>TeamsData!AG38</f>
        <v>130</v>
      </c>
      <c r="I7" s="51"/>
    </row>
    <row r="8" spans="1:9" ht="21" customHeight="1">
      <c r="A8" s="77">
        <f>IF(TeamsData!$N39=0,"",TeamsData!L39)</f>
        <v>6</v>
      </c>
      <c r="B8" s="78">
        <f>IF(TeamsData!$N39=0,"",TeamsData!K39)</f>
        <v>133</v>
      </c>
      <c r="C8" s="82">
        <f>TeamsData!A39</f>
        <v>3</v>
      </c>
      <c r="D8" s="82">
        <f>TeamsData!B39</f>
        <v>8717</v>
      </c>
      <c r="E8" s="79" t="str">
        <f>TeamsData!C39</f>
        <v>Robotic Ravioli</v>
      </c>
      <c r="F8" s="82">
        <f>TeamsData!AE39</f>
        <v>132</v>
      </c>
      <c r="G8" s="82">
        <f>TeamsData!AF39</f>
        <v>92</v>
      </c>
      <c r="H8" s="82">
        <f>TeamsData!AG39</f>
        <v>133</v>
      </c>
      <c r="I8" s="51"/>
    </row>
    <row r="9" spans="1:9" ht="21" customHeight="1">
      <c r="A9" s="77">
        <f>IF(TeamsData!$N40=0,"",TeamsData!L40)</f>
        <v>7</v>
      </c>
      <c r="B9" s="78">
        <f>IF(TeamsData!$N40=0,"",TeamsData!K40)</f>
        <v>133</v>
      </c>
      <c r="C9" s="82">
        <f>TeamsData!A40</f>
        <v>14</v>
      </c>
      <c r="D9" s="82">
        <f>TeamsData!B40</f>
        <v>5221</v>
      </c>
      <c r="E9" s="79" t="str">
        <f>TeamsData!C40</f>
        <v>Extreme Kennedy</v>
      </c>
      <c r="F9" s="82">
        <f>TeamsData!AE40</f>
        <v>133</v>
      </c>
      <c r="G9" s="82">
        <f>TeamsData!AF40</f>
        <v>124</v>
      </c>
      <c r="H9" s="82">
        <f>TeamsData!AG40</f>
        <v>119</v>
      </c>
      <c r="I9" s="51"/>
    </row>
    <row r="10" spans="1:9" ht="21" customHeight="1">
      <c r="A10" s="77">
        <f>IF(TeamsData!$N41=0,"",TeamsData!L41)</f>
        <v>8</v>
      </c>
      <c r="B10" s="78">
        <f>IF(TeamsData!$N41=0,"",TeamsData!K41)</f>
        <v>124</v>
      </c>
      <c r="C10" s="82">
        <f>TeamsData!A41</f>
        <v>6</v>
      </c>
      <c r="D10" s="82">
        <f>TeamsData!B41</f>
        <v>8947</v>
      </c>
      <c r="E10" s="79" t="str">
        <f>TeamsData!C41</f>
        <v>40 Loyola SAPlings</v>
      </c>
      <c r="F10" s="82">
        <f>TeamsData!AE41</f>
        <v>103</v>
      </c>
      <c r="G10" s="82">
        <f>TeamsData!AF41</f>
        <v>87</v>
      </c>
      <c r="H10" s="82">
        <f>TeamsData!AG41</f>
        <v>124</v>
      </c>
      <c r="I10" s="51" t="s">
        <v>172</v>
      </c>
    </row>
    <row r="11" spans="1:9" ht="21" customHeight="1">
      <c r="A11" s="77">
        <f>IF(TeamsData!$N42=0,"",TeamsData!L42)</f>
        <v>9</v>
      </c>
      <c r="B11" s="78">
        <f>IF(TeamsData!$N42=0,"",TeamsData!K42)</f>
        <v>122</v>
      </c>
      <c r="C11" s="82">
        <f>TeamsData!A42</f>
        <v>9</v>
      </c>
      <c r="D11" s="82">
        <f>TeamsData!B42</f>
        <v>6373</v>
      </c>
      <c r="E11" s="79" t="str">
        <f>TeamsData!C42</f>
        <v>Kung Food</v>
      </c>
      <c r="F11" s="82">
        <f>TeamsData!AE42</f>
        <v>98</v>
      </c>
      <c r="G11" s="82">
        <f>TeamsData!AF42</f>
        <v>114</v>
      </c>
      <c r="H11" s="82">
        <f>TeamsData!AG42</f>
        <v>122</v>
      </c>
      <c r="I11" s="51"/>
    </row>
    <row r="12" spans="1:9" ht="21" customHeight="1">
      <c r="A12" s="77">
        <f>IF(TeamsData!$N43=0,"",TeamsData!L43)</f>
        <v>10</v>
      </c>
      <c r="B12" s="78">
        <f>IF(TeamsData!$N43=0,"",TeamsData!K43)</f>
        <v>113</v>
      </c>
      <c r="C12" s="82">
        <f>TeamsData!A43</f>
        <v>15</v>
      </c>
      <c r="D12" s="82">
        <f>TeamsData!B43</f>
        <v>3927</v>
      </c>
      <c r="E12" s="79" t="str">
        <f>TeamsData!C43</f>
        <v>Hazardous Waste</v>
      </c>
      <c r="F12" s="82">
        <f>TeamsData!AE43</f>
        <v>80</v>
      </c>
      <c r="G12" s="82">
        <f>TeamsData!AF43</f>
        <v>113</v>
      </c>
      <c r="H12" s="82">
        <f>TeamsData!AG43</f>
        <v>96</v>
      </c>
      <c r="I12" s="178" t="s">
        <v>175</v>
      </c>
    </row>
    <row r="13" spans="1:9" ht="21" customHeight="1">
      <c r="A13" s="77">
        <f>IF(TeamsData!$N44=0,"",TeamsData!L44)</f>
        <v>11</v>
      </c>
      <c r="B13" s="78">
        <f>IF(TeamsData!$N44=0,"",TeamsData!K44)</f>
        <v>112</v>
      </c>
      <c r="C13" s="82">
        <f>TeamsData!A44</f>
        <v>2</v>
      </c>
      <c r="D13" s="82">
        <f>TeamsData!B44</f>
        <v>3583</v>
      </c>
      <c r="E13" s="79" t="str">
        <f>TeamsData!C44</f>
        <v>Mat Scientists</v>
      </c>
      <c r="F13" s="82">
        <f>TeamsData!AE44</f>
        <v>110</v>
      </c>
      <c r="G13" s="82">
        <f>TeamsData!AF44</f>
        <v>107</v>
      </c>
      <c r="H13" s="82">
        <f>TeamsData!AG44</f>
        <v>112</v>
      </c>
      <c r="I13" s="51"/>
    </row>
    <row r="14" spans="1:9" ht="21" customHeight="1">
      <c r="A14" s="77">
        <f>IF(TeamsData!$N45=0,"",TeamsData!L45)</f>
        <v>12</v>
      </c>
      <c r="B14" s="78">
        <f>IF(TeamsData!$N45=0,"",TeamsData!K45)</f>
        <v>112</v>
      </c>
      <c r="C14" s="82">
        <f>TeamsData!A45</f>
        <v>10</v>
      </c>
      <c r="D14" s="82">
        <f>TeamsData!B45</f>
        <v>7667</v>
      </c>
      <c r="E14" s="79" t="str">
        <f>TeamsData!C45</f>
        <v>Fantastic Lego Legion</v>
      </c>
      <c r="F14" s="82">
        <f>TeamsData!AE45</f>
        <v>110</v>
      </c>
      <c r="G14" s="82">
        <f>TeamsData!AF45</f>
        <v>112</v>
      </c>
      <c r="H14" s="82">
        <f>TeamsData!AG45</f>
        <v>81</v>
      </c>
      <c r="I14" s="51"/>
    </row>
    <row r="15" spans="1:9" ht="21" customHeight="1">
      <c r="A15" s="77">
        <f>IF(TeamsData!$N46=0,"",TeamsData!L46)</f>
        <v>13</v>
      </c>
      <c r="B15" s="78">
        <f>IF(TeamsData!$N46=0,"",TeamsData!K46)</f>
        <v>109</v>
      </c>
      <c r="C15" s="82">
        <f>TeamsData!A46</f>
        <v>4</v>
      </c>
      <c r="D15" s="82">
        <f>TeamsData!B46</f>
        <v>8043</v>
      </c>
      <c r="E15" s="79" t="str">
        <f>TeamsData!C46</f>
        <v>MINITW</v>
      </c>
      <c r="F15" s="82">
        <f>TeamsData!AE46</f>
        <v>99</v>
      </c>
      <c r="G15" s="82">
        <f>TeamsData!AF46</f>
        <v>109</v>
      </c>
      <c r="H15" s="82">
        <f>TeamsData!AG46</f>
        <v>89</v>
      </c>
      <c r="I15" s="51"/>
    </row>
    <row r="16" spans="1:9" ht="21" customHeight="1">
      <c r="A16" s="77">
        <f>IF(TeamsData!$N47=0,"",TeamsData!L47)</f>
        <v>14</v>
      </c>
      <c r="B16" s="78">
        <f>IF(TeamsData!$N47=0,"",TeamsData!K47)</f>
        <v>107</v>
      </c>
      <c r="C16" s="82">
        <f>TeamsData!A47</f>
        <v>8</v>
      </c>
      <c r="D16" s="82">
        <f>TeamsData!B47</f>
        <v>6222</v>
      </c>
      <c r="E16" s="79" t="str">
        <f>TeamsData!C47</f>
        <v>Adroits</v>
      </c>
      <c r="F16" s="82">
        <f>TeamsData!AE47</f>
        <v>93</v>
      </c>
      <c r="G16" s="82">
        <f>TeamsData!AF47</f>
        <v>87</v>
      </c>
      <c r="H16" s="82">
        <f>TeamsData!AG47</f>
        <v>107</v>
      </c>
      <c r="I16" s="51"/>
    </row>
    <row r="17" spans="1:9" ht="21" customHeight="1">
      <c r="A17" s="77">
        <f>IF(TeamsData!$N48=0,"",TeamsData!L48)</f>
        <v>15</v>
      </c>
      <c r="B17" s="78">
        <f>IF(TeamsData!$N48=0,"",TeamsData!K48)</f>
        <v>103</v>
      </c>
      <c r="C17" s="82">
        <f>TeamsData!A48</f>
        <v>12</v>
      </c>
      <c r="D17" s="82">
        <f>TeamsData!B48</f>
        <v>9738</v>
      </c>
      <c r="E17" s="79" t="str">
        <f>TeamsData!C48</f>
        <v>Alien Calamari</v>
      </c>
      <c r="F17" s="82">
        <f>TeamsData!AE48</f>
        <v>92</v>
      </c>
      <c r="G17" s="82">
        <f>TeamsData!AF48</f>
        <v>103</v>
      </c>
      <c r="H17" s="82">
        <f>TeamsData!AG48</f>
        <v>88</v>
      </c>
      <c r="I17" s="178" t="s">
        <v>176</v>
      </c>
    </row>
    <row r="18" spans="1:9" ht="21" customHeight="1">
      <c r="A18" s="77">
        <f>IF(TeamsData!$N49=0,"",TeamsData!L49)</f>
        <v>16</v>
      </c>
      <c r="B18" s="78">
        <f>IF(TeamsData!$N49=0,"",TeamsData!K49)</f>
        <v>93</v>
      </c>
      <c r="C18" s="82">
        <f>TeamsData!A49</f>
        <v>5</v>
      </c>
      <c r="D18" s="82">
        <f>TeamsData!B49</f>
        <v>7940</v>
      </c>
      <c r="E18" s="79" t="str">
        <f>TeamsData!C49</f>
        <v>Gears</v>
      </c>
      <c r="F18" s="82">
        <f>TeamsData!AE49</f>
        <v>64</v>
      </c>
      <c r="G18" s="82">
        <f>TeamsData!AF49</f>
        <v>63</v>
      </c>
      <c r="H18" s="82">
        <f>TeamsData!AG49</f>
        <v>93</v>
      </c>
      <c r="I18" s="51"/>
    </row>
  </sheetData>
  <mergeCells count="4">
    <mergeCell ref="A1:A2"/>
    <mergeCell ref="C1:C2"/>
    <mergeCell ref="E1:E2"/>
    <mergeCell ref="D1:D2"/>
  </mergeCells>
  <conditionalFormatting sqref="F3:H18">
    <cfRule type="cellIs" priority="1" dxfId="3" operator="greaterThan" stopIfTrue="1">
      <formula>500</formula>
    </cfRule>
  </conditionalFormatting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&amp;CLos Altos FLL Tournament Score Summary - November 13,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31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4.8515625" style="0" bestFit="1" customWidth="1"/>
    <col min="2" max="2" width="45.421875" style="0" bestFit="1" customWidth="1"/>
  </cols>
  <sheetData>
    <row r="1" spans="1:3" ht="12.75">
      <c r="A1" s="84" t="s">
        <v>40</v>
      </c>
      <c r="B1" s="84" t="s">
        <v>42</v>
      </c>
      <c r="C1" s="84" t="s">
        <v>41</v>
      </c>
    </row>
    <row r="2" spans="1:3" ht="18">
      <c r="A2" s="85">
        <v>1</v>
      </c>
      <c r="B2" s="85" t="s">
        <v>84</v>
      </c>
      <c r="C2" s="85">
        <v>353</v>
      </c>
    </row>
    <row r="3" spans="1:3" ht="18">
      <c r="A3" s="85">
        <v>2</v>
      </c>
      <c r="B3" s="85" t="s">
        <v>80</v>
      </c>
      <c r="C3" s="85">
        <v>3583</v>
      </c>
    </row>
    <row r="4" spans="1:3" ht="18">
      <c r="A4" s="85">
        <v>3</v>
      </c>
      <c r="B4" s="85" t="s">
        <v>81</v>
      </c>
      <c r="C4" s="85">
        <v>8717</v>
      </c>
    </row>
    <row r="5" spans="1:3" ht="18">
      <c r="A5" s="85">
        <v>4</v>
      </c>
      <c r="B5" s="85" t="s">
        <v>85</v>
      </c>
      <c r="C5" s="85">
        <v>8043</v>
      </c>
    </row>
    <row r="6" spans="1:3" ht="18">
      <c r="A6" s="85">
        <v>5</v>
      </c>
      <c r="B6" s="85" t="s">
        <v>86</v>
      </c>
      <c r="C6" s="85">
        <v>7940</v>
      </c>
    </row>
    <row r="7" spans="1:3" ht="18">
      <c r="A7" s="85">
        <v>6</v>
      </c>
      <c r="B7" s="85" t="s">
        <v>76</v>
      </c>
      <c r="C7" s="85">
        <v>8947</v>
      </c>
    </row>
    <row r="8" spans="1:3" ht="18">
      <c r="A8" s="85">
        <v>7</v>
      </c>
      <c r="B8" s="85" t="s">
        <v>87</v>
      </c>
      <c r="C8" s="85">
        <v>6195</v>
      </c>
    </row>
    <row r="9" spans="1:3" ht="18">
      <c r="A9" s="85">
        <v>8</v>
      </c>
      <c r="B9" s="85" t="s">
        <v>118</v>
      </c>
      <c r="C9" s="85">
        <v>6222</v>
      </c>
    </row>
    <row r="10" spans="1:3" ht="18">
      <c r="A10" s="85">
        <v>9</v>
      </c>
      <c r="B10" s="85" t="s">
        <v>78</v>
      </c>
      <c r="C10" s="85">
        <v>6373</v>
      </c>
    </row>
    <row r="11" spans="1:3" ht="18">
      <c r="A11" s="85">
        <v>10</v>
      </c>
      <c r="B11" s="85" t="s">
        <v>77</v>
      </c>
      <c r="C11" s="85">
        <v>7667</v>
      </c>
    </row>
    <row r="12" spans="1:3" ht="18">
      <c r="A12" s="85">
        <v>11</v>
      </c>
      <c r="B12" s="85" t="s">
        <v>82</v>
      </c>
      <c r="C12" s="85">
        <v>8627</v>
      </c>
    </row>
    <row r="13" spans="1:3" ht="18">
      <c r="A13" s="85">
        <v>12</v>
      </c>
      <c r="B13" s="85" t="s">
        <v>89</v>
      </c>
      <c r="C13" s="85">
        <v>9738</v>
      </c>
    </row>
    <row r="14" spans="1:3" ht="18">
      <c r="A14" s="85">
        <v>13</v>
      </c>
      <c r="B14" s="85" t="s">
        <v>90</v>
      </c>
      <c r="C14" s="85">
        <v>5820</v>
      </c>
    </row>
    <row r="15" spans="1:3" ht="18">
      <c r="A15" s="85">
        <v>14</v>
      </c>
      <c r="B15" s="85" t="s">
        <v>91</v>
      </c>
      <c r="C15" s="85">
        <v>5221</v>
      </c>
    </row>
    <row r="16" spans="1:3" ht="18">
      <c r="A16" s="85">
        <v>15</v>
      </c>
      <c r="B16" s="85" t="s">
        <v>83</v>
      </c>
      <c r="C16" s="85">
        <v>3927</v>
      </c>
    </row>
    <row r="17" spans="1:3" ht="18">
      <c r="A17" s="85">
        <v>16</v>
      </c>
      <c r="B17" s="85" t="s">
        <v>79</v>
      </c>
      <c r="C17" s="85">
        <v>6134</v>
      </c>
    </row>
    <row r="18" spans="1:3" ht="18">
      <c r="A18" s="85">
        <v>17</v>
      </c>
      <c r="B18" s="85"/>
      <c r="C18" s="85"/>
    </row>
    <row r="19" spans="1:3" ht="18">
      <c r="A19" s="85">
        <v>18</v>
      </c>
      <c r="B19" s="85"/>
      <c r="C19" s="85"/>
    </row>
    <row r="20" spans="1:3" ht="18">
      <c r="A20" s="85">
        <v>19</v>
      </c>
      <c r="B20" s="85"/>
      <c r="C20" s="85"/>
    </row>
    <row r="21" spans="1:3" ht="18">
      <c r="A21" s="85">
        <v>20</v>
      </c>
      <c r="B21" s="85"/>
      <c r="C21" s="85"/>
    </row>
    <row r="22" spans="1:3" ht="18">
      <c r="A22" s="85">
        <v>21</v>
      </c>
      <c r="B22" s="85"/>
      <c r="C22" s="85"/>
    </row>
    <row r="23" spans="1:3" ht="18">
      <c r="A23" s="85">
        <v>22</v>
      </c>
      <c r="B23" s="85"/>
      <c r="C23" s="85"/>
    </row>
    <row r="24" spans="1:3" ht="18">
      <c r="A24" s="85">
        <v>23</v>
      </c>
      <c r="B24" s="85"/>
      <c r="C24" s="85"/>
    </row>
    <row r="25" spans="1:3" ht="18">
      <c r="A25" s="85">
        <v>24</v>
      </c>
      <c r="B25" s="85"/>
      <c r="C25" s="85"/>
    </row>
    <row r="26" spans="1:3" ht="18">
      <c r="A26" s="85">
        <v>25</v>
      </c>
      <c r="B26" s="85"/>
      <c r="C26" s="85"/>
    </row>
    <row r="27" spans="1:3" ht="18">
      <c r="A27" s="85">
        <v>26</v>
      </c>
      <c r="B27" s="85"/>
      <c r="C27" s="85"/>
    </row>
    <row r="28" spans="1:3" ht="18">
      <c r="A28" s="85">
        <v>27</v>
      </c>
      <c r="B28" s="85"/>
      <c r="C28" s="85"/>
    </row>
    <row r="29" spans="1:3" ht="18">
      <c r="A29" s="85">
        <v>28</v>
      </c>
      <c r="B29" s="85"/>
      <c r="C29" s="85"/>
    </row>
    <row r="30" spans="1:3" ht="18">
      <c r="A30" s="85">
        <v>29</v>
      </c>
      <c r="B30" s="85"/>
      <c r="C30" s="85"/>
    </row>
    <row r="31" spans="1:3" ht="18">
      <c r="A31" s="85">
        <v>30</v>
      </c>
      <c r="B31" s="85"/>
      <c r="C31" s="85"/>
    </row>
  </sheetData>
  <printOptions horizontalCentered="1" verticalCentered="1"/>
  <pageMargins left="0.5" right="0.5" top="0.25" bottom="0.25" header="0.5" footer="0.5"/>
  <pageSetup horizontalDpi="600" verticalDpi="600" orientation="portrait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U41"/>
  <sheetViews>
    <sheetView zoomScaleSheetLayoutView="100" workbookViewId="0" topLeftCell="A1">
      <selection activeCell="E1" sqref="E1"/>
    </sheetView>
  </sheetViews>
  <sheetFormatPr defaultColWidth="9.140625" defaultRowHeight="12.75"/>
  <cols>
    <col min="1" max="1" width="3.7109375" style="9" customWidth="1"/>
    <col min="2" max="16" width="3.7109375" style="0" customWidth="1"/>
    <col min="17" max="17" width="6.00390625" style="0" customWidth="1"/>
    <col min="18" max="18" width="3.7109375" style="4" hidden="1" customWidth="1"/>
    <col min="19" max="19" width="7.00390625" style="5" hidden="1" customWidth="1"/>
    <col min="20" max="21" width="3.7109375" style="1" customWidth="1"/>
    <col min="22" max="36" width="3.7109375" style="0" customWidth="1"/>
    <col min="37" max="37" width="6.28125" style="0" customWidth="1"/>
    <col min="38" max="38" width="3.7109375" style="5" hidden="1" customWidth="1"/>
    <col min="39" max="39" width="7.00390625" style="5" hidden="1" customWidth="1"/>
    <col min="40" max="57" width="3.7109375" style="0" customWidth="1"/>
  </cols>
  <sheetData>
    <row r="1" spans="1:47" ht="12.75">
      <c r="A1" s="13"/>
      <c r="B1" s="14" t="s">
        <v>13</v>
      </c>
      <c r="C1" s="14"/>
      <c r="D1" s="14"/>
      <c r="E1" s="39"/>
      <c r="F1" s="14" t="s">
        <v>34</v>
      </c>
      <c r="G1" s="14"/>
      <c r="H1" s="14"/>
      <c r="I1" s="10" t="str">
        <f>IF(ISERROR(S5),"&lt;--Enter Valid Team Pit #",S5)</f>
        <v>&lt;--Enter Valid Team Pit #</v>
      </c>
      <c r="J1" s="11"/>
      <c r="K1" s="11"/>
      <c r="L1" s="11"/>
      <c r="M1" s="11"/>
      <c r="N1" s="11"/>
      <c r="O1" s="11"/>
      <c r="P1" s="11"/>
      <c r="Q1" s="8"/>
      <c r="R1" s="5"/>
      <c r="S1" s="6" t="b">
        <f>NOT(ISERROR(S5))</f>
        <v>0</v>
      </c>
      <c r="U1" s="60" t="s">
        <v>56</v>
      </c>
      <c r="V1" s="6" t="str">
        <f>'Score List'!C2</f>
        <v>?</v>
      </c>
      <c r="W1" s="14"/>
      <c r="X1" s="50" t="str">
        <f>IF(AM1,"(no errors)","(check entries)")</f>
        <v>(check entries)</v>
      </c>
      <c r="Y1" s="14"/>
      <c r="AA1" s="14"/>
      <c r="AB1" s="14"/>
      <c r="AC1" s="14"/>
      <c r="AD1" s="14"/>
      <c r="AE1" s="14"/>
      <c r="AF1" s="14"/>
      <c r="AI1" s="15"/>
      <c r="AJ1" s="16" t="s">
        <v>35</v>
      </c>
      <c r="AK1" s="38">
        <f>SUM(Q2:Q99,AK2:AK99)</f>
        <v>0</v>
      </c>
      <c r="AM1" s="6" t="b">
        <f>AND(S1,AM2=19,NOT(AM8),NOT(AM12))</f>
        <v>0</v>
      </c>
      <c r="AN1" s="14"/>
      <c r="AO1" s="14"/>
      <c r="AP1" s="14"/>
      <c r="AQ1" s="14"/>
      <c r="AR1" s="14"/>
      <c r="AS1" s="14"/>
      <c r="AT1" s="14"/>
      <c r="AU1" s="14"/>
    </row>
    <row r="2" spans="1:47" ht="12.75">
      <c r="A2" s="17">
        <v>1</v>
      </c>
      <c r="B2" s="18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2">
        <f>IF(R3="","",S3*S2)</f>
      </c>
      <c r="R2" s="42"/>
      <c r="S2" s="7">
        <v>6</v>
      </c>
      <c r="T2" s="14"/>
      <c r="U2" s="17">
        <v>9</v>
      </c>
      <c r="V2" s="22" t="s">
        <v>12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2">
        <f>IF(OR(AL3="",AL7=""),"",IF(AL3=2,AM4,IF(AL3=1,AM3+IF(R22=1,AM5,0),0)))</f>
      </c>
      <c r="AL2" s="49"/>
      <c r="AM2" s="6">
        <f>COUNT(R2:R36,AL2:AL36)</f>
        <v>0</v>
      </c>
      <c r="AN2" s="14"/>
      <c r="AO2" s="14"/>
      <c r="AP2" s="14"/>
      <c r="AQ2" s="14"/>
      <c r="AR2" s="14"/>
      <c r="AS2" s="14"/>
      <c r="AT2" s="14"/>
      <c r="AU2" s="14"/>
    </row>
    <row r="3" spans="1:47" ht="12.75">
      <c r="A3" s="19"/>
      <c r="B3" s="18"/>
      <c r="C3" s="15" t="s">
        <v>33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3"/>
      <c r="S3" s="3">
        <f>R3-1</f>
        <v>-1</v>
      </c>
      <c r="T3" s="25"/>
      <c r="U3" s="25"/>
      <c r="V3" s="22"/>
      <c r="W3" s="14" t="s">
        <v>32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46"/>
      <c r="AM3" s="7">
        <v>20</v>
      </c>
      <c r="AN3" s="14"/>
      <c r="AO3" s="14"/>
      <c r="AP3" s="14"/>
      <c r="AQ3" s="14"/>
      <c r="AR3" s="14"/>
      <c r="AS3" s="14"/>
      <c r="AT3" s="14"/>
      <c r="AU3" s="14"/>
    </row>
    <row r="4" spans="1:47" ht="12.75">
      <c r="A4" s="19"/>
      <c r="B4" s="18"/>
      <c r="C4" s="15"/>
      <c r="D4" s="20">
        <v>0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  <c r="M4" s="20">
        <v>9</v>
      </c>
      <c r="N4" s="20">
        <v>10</v>
      </c>
      <c r="O4" s="20">
        <v>11</v>
      </c>
      <c r="P4" s="20">
        <v>12</v>
      </c>
      <c r="Q4" s="20"/>
      <c r="R4" s="44"/>
      <c r="T4" s="14"/>
      <c r="U4" s="14"/>
      <c r="V4" s="22"/>
      <c r="W4" s="14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14"/>
      <c r="AK4" s="14"/>
      <c r="AL4" s="49"/>
      <c r="AM4" s="7">
        <v>12</v>
      </c>
      <c r="AN4" s="14"/>
      <c r="AO4" s="14"/>
      <c r="AP4" s="14"/>
      <c r="AQ4" s="14"/>
      <c r="AR4" s="14"/>
      <c r="AS4" s="14"/>
      <c r="AT4" s="14"/>
      <c r="AU4" s="14"/>
    </row>
    <row r="5" spans="1:47" ht="12.75">
      <c r="A5" s="19"/>
      <c r="B5" s="18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4"/>
      <c r="S5" s="6" t="e">
        <f>VLOOKUP(E1,Teams!$A$2:$B$99,2,FALSE)</f>
        <v>#N/A</v>
      </c>
      <c r="T5" s="14"/>
      <c r="U5" s="14"/>
      <c r="V5" s="22"/>
      <c r="W5" s="14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14"/>
      <c r="AK5" s="14"/>
      <c r="AL5" s="49"/>
      <c r="AM5" s="6">
        <f>AM7*AM6</f>
        <v>-6</v>
      </c>
      <c r="AN5" s="14"/>
      <c r="AO5" s="14"/>
      <c r="AP5" s="14"/>
      <c r="AQ5" s="14"/>
      <c r="AR5" s="14"/>
      <c r="AS5" s="14"/>
      <c r="AT5" s="14"/>
      <c r="AU5" s="14"/>
    </row>
    <row r="6" spans="1:47" ht="12.75">
      <c r="A6" s="19"/>
      <c r="B6" s="18"/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42"/>
      <c r="T6" s="14"/>
      <c r="U6" s="14"/>
      <c r="V6" s="22"/>
      <c r="W6" s="14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14"/>
      <c r="AJ6" s="14"/>
      <c r="AK6" s="14"/>
      <c r="AL6" s="49"/>
      <c r="AM6" s="7">
        <v>6</v>
      </c>
      <c r="AN6" s="14"/>
      <c r="AO6" s="14"/>
      <c r="AP6" s="14"/>
      <c r="AQ6" s="14"/>
      <c r="AR6" s="14"/>
      <c r="AS6" s="14"/>
      <c r="AT6" s="14"/>
      <c r="AU6" s="14"/>
    </row>
    <row r="7" spans="1:47" ht="12.75">
      <c r="A7" s="17">
        <v>2</v>
      </c>
      <c r="B7" s="18" t="s">
        <v>1</v>
      </c>
      <c r="C7" s="1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/>
      <c r="Q7" s="2">
        <f>IF(R8="","",S8*S7)</f>
      </c>
      <c r="R7" s="42"/>
      <c r="S7" s="7">
        <v>9</v>
      </c>
      <c r="T7" s="14"/>
      <c r="U7" s="14"/>
      <c r="V7" s="22"/>
      <c r="W7" s="14" t="s">
        <v>31</v>
      </c>
      <c r="X7" s="22"/>
      <c r="Y7" s="22"/>
      <c r="Z7" s="22"/>
      <c r="AA7" s="22"/>
      <c r="AB7" s="22"/>
      <c r="AC7" s="22"/>
      <c r="AD7" s="22"/>
      <c r="AE7" s="22"/>
      <c r="AF7" s="22"/>
      <c r="AG7" s="19">
        <v>0</v>
      </c>
      <c r="AH7" s="19">
        <v>1</v>
      </c>
      <c r="AI7" s="19">
        <v>2</v>
      </c>
      <c r="AJ7" s="19">
        <v>3</v>
      </c>
      <c r="AK7" s="14"/>
      <c r="AL7" s="46"/>
      <c r="AM7" s="3">
        <f>AL7-1</f>
        <v>-1</v>
      </c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19"/>
      <c r="B8" s="18"/>
      <c r="C8" s="15" t="s">
        <v>15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1"/>
      <c r="O8" s="21"/>
      <c r="P8" s="21"/>
      <c r="Q8" s="21"/>
      <c r="R8" s="43"/>
      <c r="S8" s="3">
        <f>IF(R8&gt;0,2-R8,-1)</f>
        <v>-1</v>
      </c>
      <c r="T8" s="25"/>
      <c r="U8" s="25"/>
      <c r="V8" s="22"/>
      <c r="W8" s="14"/>
      <c r="X8" s="23">
        <f>IF(AM8,"Error: too many fish!","")</f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49"/>
      <c r="AM8" s="6" t="b">
        <f>AM7+S19&gt;3</f>
        <v>0</v>
      </c>
      <c r="AN8" s="14"/>
      <c r="AO8" s="14"/>
      <c r="AP8" s="14"/>
      <c r="AQ8" s="14"/>
      <c r="AR8" s="14"/>
      <c r="AS8" s="14"/>
      <c r="AT8" s="14"/>
      <c r="AU8" s="14"/>
    </row>
    <row r="9" spans="1:47" ht="12.75">
      <c r="A9" s="19"/>
      <c r="B9" s="18"/>
      <c r="C9" s="15"/>
      <c r="D9" s="18"/>
      <c r="E9" s="18"/>
      <c r="F9" s="18"/>
      <c r="G9" s="18"/>
      <c r="H9" s="18"/>
      <c r="I9" s="18"/>
      <c r="J9" s="18"/>
      <c r="K9" s="18"/>
      <c r="L9" s="18"/>
      <c r="M9" s="18"/>
      <c r="N9" s="21"/>
      <c r="O9" s="21"/>
      <c r="P9" s="21"/>
      <c r="Q9" s="21"/>
      <c r="R9" s="45"/>
      <c r="T9" s="14"/>
      <c r="U9" s="14"/>
      <c r="V9" s="22"/>
      <c r="W9" s="14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14"/>
      <c r="AL9" s="49"/>
      <c r="AN9" s="14"/>
      <c r="AO9" s="14"/>
      <c r="AP9" s="14"/>
      <c r="AQ9" s="14"/>
      <c r="AR9" s="14"/>
      <c r="AS9" s="14"/>
      <c r="AT9" s="14"/>
      <c r="AU9" s="14"/>
    </row>
    <row r="10" spans="1:47" ht="12.75">
      <c r="A10" s="17">
        <v>3</v>
      </c>
      <c r="B10" s="18" t="s">
        <v>2</v>
      </c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6"/>
      <c r="Q10" s="2">
        <f>IF(R11="","",S11*S10)</f>
      </c>
      <c r="R10" s="42"/>
      <c r="S10" s="7">
        <v>15</v>
      </c>
      <c r="T10" s="14"/>
      <c r="U10" s="17" t="s">
        <v>39</v>
      </c>
      <c r="V10" s="26" t="s">
        <v>36</v>
      </c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12">
        <f>IF(AND(AL13&gt;0,AL14&gt;0),AM11*AM10,"")</f>
      </c>
      <c r="AL10" s="49"/>
      <c r="AM10" s="7">
        <v>3</v>
      </c>
      <c r="AN10" s="14"/>
      <c r="AO10" s="14"/>
      <c r="AP10" s="14"/>
      <c r="AQ10" s="14"/>
      <c r="AR10" s="14"/>
      <c r="AS10" s="14"/>
      <c r="AT10" s="14"/>
      <c r="AU10" s="14"/>
    </row>
    <row r="11" spans="1:47" ht="13.5" thickBot="1">
      <c r="A11" s="19"/>
      <c r="B11" s="22"/>
      <c r="C11" s="14" t="s">
        <v>17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9">
        <v>0</v>
      </c>
      <c r="O11" s="19">
        <v>1</v>
      </c>
      <c r="P11" s="19">
        <v>2</v>
      </c>
      <c r="Q11" s="22"/>
      <c r="R11" s="46"/>
      <c r="S11" s="3">
        <f>R11-1</f>
        <v>-1</v>
      </c>
      <c r="T11" s="25"/>
      <c r="U11" s="25"/>
      <c r="V11" s="29"/>
      <c r="W11" s="15" t="s">
        <v>27</v>
      </c>
      <c r="X11" s="18"/>
      <c r="Y11" s="18"/>
      <c r="Z11" s="18"/>
      <c r="AA11" s="30">
        <f>IF(AM12,"Error: Too many bacteria!","")</f>
      </c>
      <c r="AB11" s="18"/>
      <c r="AC11" s="18"/>
      <c r="AD11" s="18"/>
      <c r="AE11" s="18"/>
      <c r="AF11" s="18"/>
      <c r="AG11" s="18"/>
      <c r="AH11" s="18"/>
      <c r="AI11" s="14"/>
      <c r="AJ11" s="31">
        <f>IF(AM11&lt;0,"",AM13*10+AM14)</f>
      </c>
      <c r="AK11" s="32"/>
      <c r="AL11" s="49"/>
      <c r="AM11" s="6">
        <f>AM13*10+AM14</f>
        <v>-11</v>
      </c>
      <c r="AN11" s="14"/>
      <c r="AO11" s="14"/>
      <c r="AP11" s="14"/>
      <c r="AQ11" s="14"/>
      <c r="AR11" s="14"/>
      <c r="AS11" s="14"/>
      <c r="AT11" s="14"/>
      <c r="AU11" s="14"/>
    </row>
    <row r="12" spans="1:47" ht="12.75">
      <c r="A12" s="19"/>
      <c r="B12" s="22"/>
      <c r="C12" s="14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4"/>
      <c r="T12" s="14"/>
      <c r="U12" s="14"/>
      <c r="V12" s="29"/>
      <c r="W12" s="15"/>
      <c r="X12" s="25" t="s">
        <v>28</v>
      </c>
      <c r="Y12" s="18"/>
      <c r="Z12" s="18"/>
      <c r="AA12" s="20">
        <v>0</v>
      </c>
      <c r="AB12" s="20">
        <v>1</v>
      </c>
      <c r="AC12" s="20">
        <v>2</v>
      </c>
      <c r="AD12" s="20">
        <v>3</v>
      </c>
      <c r="AE12" s="20">
        <v>4</v>
      </c>
      <c r="AF12" s="20">
        <v>5</v>
      </c>
      <c r="AG12" s="20">
        <v>6</v>
      </c>
      <c r="AH12" s="18"/>
      <c r="AI12" s="18"/>
      <c r="AJ12" s="18"/>
      <c r="AK12" s="32"/>
      <c r="AL12" s="49"/>
      <c r="AM12" s="6" t="b">
        <f>AM11+S3&gt;60</f>
        <v>0</v>
      </c>
      <c r="AN12" s="14"/>
      <c r="AO12" s="14"/>
      <c r="AP12" s="14"/>
      <c r="AQ12" s="14"/>
      <c r="AR12" s="14"/>
      <c r="AS12" s="14"/>
      <c r="AT12" s="14"/>
      <c r="AU12" s="14"/>
    </row>
    <row r="13" spans="1:47" ht="12.75">
      <c r="A13" s="19"/>
      <c r="B13" s="22"/>
      <c r="C13" s="1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4"/>
      <c r="T13" s="14"/>
      <c r="U13" s="14"/>
      <c r="V13" s="29"/>
      <c r="W13" s="15"/>
      <c r="X13" s="15"/>
      <c r="Y13" s="25"/>
      <c r="Z13" s="25"/>
      <c r="AA13" s="20"/>
      <c r="AB13" s="20"/>
      <c r="AC13" s="20"/>
      <c r="AD13" s="20"/>
      <c r="AE13" s="20"/>
      <c r="AF13" s="20"/>
      <c r="AG13" s="20"/>
      <c r="AH13" s="18"/>
      <c r="AI13" s="18"/>
      <c r="AJ13" s="18"/>
      <c r="AK13" s="32"/>
      <c r="AL13" s="46"/>
      <c r="AM13" s="3">
        <f>AL13-1</f>
        <v>-1</v>
      </c>
      <c r="AN13" s="14"/>
      <c r="AO13" s="14"/>
      <c r="AP13" s="14"/>
      <c r="AQ13" s="14"/>
      <c r="AR13" s="14"/>
      <c r="AS13" s="14"/>
      <c r="AT13" s="14"/>
      <c r="AU13" s="14"/>
    </row>
    <row r="14" spans="1:47" ht="12.75">
      <c r="A14" s="17">
        <v>4</v>
      </c>
      <c r="B14" s="22" t="s">
        <v>3</v>
      </c>
      <c r="C14" s="1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6"/>
      <c r="Q14" s="2">
        <f>IF(R15="","",S15*S14)</f>
      </c>
      <c r="R14" s="44"/>
      <c r="S14" s="7">
        <v>7</v>
      </c>
      <c r="T14" s="14"/>
      <c r="U14" s="14"/>
      <c r="V14" s="29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32"/>
      <c r="AL14" s="46"/>
      <c r="AM14" s="3">
        <f>AL14-1</f>
        <v>-1</v>
      </c>
      <c r="AN14" s="14"/>
      <c r="AO14" s="14"/>
      <c r="AP14" s="14"/>
      <c r="AQ14" s="14"/>
      <c r="AR14" s="14"/>
      <c r="AS14" s="14"/>
      <c r="AT14" s="14"/>
      <c r="AU14" s="14"/>
    </row>
    <row r="15" spans="1:47" ht="12.75">
      <c r="A15" s="19"/>
      <c r="B15" s="22"/>
      <c r="C15" s="14" t="s">
        <v>16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9">
        <v>0</v>
      </c>
      <c r="O15" s="19">
        <v>1</v>
      </c>
      <c r="P15" s="19">
        <v>2</v>
      </c>
      <c r="Q15" s="22"/>
      <c r="R15" s="47"/>
      <c r="S15" s="3">
        <f>R15-1</f>
        <v>-1</v>
      </c>
      <c r="T15" s="25"/>
      <c r="U15" s="25"/>
      <c r="V15" s="29"/>
      <c r="W15" s="15"/>
      <c r="X15" s="25" t="s">
        <v>29</v>
      </c>
      <c r="Y15" s="15"/>
      <c r="Z15" s="15"/>
      <c r="AA15" s="20">
        <v>0</v>
      </c>
      <c r="AB15" s="20">
        <v>1</v>
      </c>
      <c r="AC15" s="20">
        <v>2</v>
      </c>
      <c r="AD15" s="20">
        <v>3</v>
      </c>
      <c r="AE15" s="20">
        <v>4</v>
      </c>
      <c r="AF15" s="20">
        <v>5</v>
      </c>
      <c r="AG15" s="20">
        <v>6</v>
      </c>
      <c r="AH15" s="20">
        <v>7</v>
      </c>
      <c r="AI15" s="20">
        <v>8</v>
      </c>
      <c r="AJ15" s="20">
        <v>9</v>
      </c>
      <c r="AK15" s="32"/>
      <c r="AL15" s="49"/>
      <c r="AN15" s="14"/>
      <c r="AO15" s="14"/>
      <c r="AP15" s="14"/>
      <c r="AQ15" s="14"/>
      <c r="AR15" s="14"/>
      <c r="AS15" s="14"/>
      <c r="AT15" s="14"/>
      <c r="AU15" s="14"/>
    </row>
    <row r="16" spans="1:47" ht="12.75">
      <c r="A16" s="19"/>
      <c r="B16" s="22"/>
      <c r="C16" s="1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4"/>
      <c r="T16" s="14"/>
      <c r="U16" s="14"/>
      <c r="V16" s="29"/>
      <c r="W16" s="15"/>
      <c r="X16" s="15"/>
      <c r="Y16" s="25"/>
      <c r="Z16" s="2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32"/>
      <c r="AL16" s="49"/>
      <c r="AN16" s="14"/>
      <c r="AO16" s="14"/>
      <c r="AP16" s="14"/>
      <c r="AQ16" s="14"/>
      <c r="AR16" s="14"/>
      <c r="AS16" s="14"/>
      <c r="AT16" s="14"/>
      <c r="AU16" s="14"/>
    </row>
    <row r="17" spans="1:47" ht="12.75">
      <c r="A17" s="19"/>
      <c r="B17" s="22"/>
      <c r="C17" s="1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4"/>
      <c r="T17" s="14"/>
      <c r="U17" s="14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  <c r="AL17" s="49"/>
      <c r="AN17" s="14"/>
      <c r="AO17" s="14"/>
      <c r="AP17" s="14"/>
      <c r="AQ17" s="14"/>
      <c r="AR17" s="14"/>
      <c r="AS17" s="14"/>
      <c r="AT17" s="14"/>
      <c r="AU17" s="14"/>
    </row>
    <row r="18" spans="1:47" ht="12.75">
      <c r="A18" s="17">
        <v>5</v>
      </c>
      <c r="B18" s="22" t="s">
        <v>4</v>
      </c>
      <c r="C18" s="1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">
        <f>IF(OR(R19="",R22=""),"",S19*S18)</f>
      </c>
      <c r="R18" s="44"/>
      <c r="S18" s="7">
        <v>3</v>
      </c>
      <c r="T18" s="14"/>
      <c r="U18" s="37" t="s">
        <v>38</v>
      </c>
      <c r="V18" s="22" t="s">
        <v>37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">
        <f>IF(AL19="","",AM19)</f>
      </c>
      <c r="AL18" s="49"/>
      <c r="AN18" s="14"/>
      <c r="AO18" s="14"/>
      <c r="AP18" s="14"/>
      <c r="AQ18" s="14"/>
      <c r="AR18" s="14"/>
      <c r="AS18" s="14"/>
      <c r="AT18" s="14"/>
      <c r="AU18" s="14"/>
    </row>
    <row r="19" spans="1:47" ht="12.75">
      <c r="A19" s="19"/>
      <c r="B19" s="22"/>
      <c r="C19" s="14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19">
        <v>0</v>
      </c>
      <c r="N19" s="19">
        <v>1</v>
      </c>
      <c r="O19" s="19">
        <v>2</v>
      </c>
      <c r="P19" s="19">
        <v>3</v>
      </c>
      <c r="Q19" s="22"/>
      <c r="R19" s="47"/>
      <c r="S19" s="3">
        <f>(R19-1)*S22</f>
        <v>1</v>
      </c>
      <c r="T19" s="25"/>
      <c r="U19" s="25"/>
      <c r="V19" s="14"/>
      <c r="W19" s="14" t="s">
        <v>30</v>
      </c>
      <c r="X19" s="22"/>
      <c r="Y19" s="22"/>
      <c r="Z19" s="22"/>
      <c r="AA19" s="22"/>
      <c r="AB19" s="22"/>
      <c r="AC19" s="22"/>
      <c r="AD19" s="22"/>
      <c r="AE19" s="22"/>
      <c r="AF19" s="22"/>
      <c r="AG19" s="36"/>
      <c r="AH19" s="22"/>
      <c r="AI19" s="22"/>
      <c r="AJ19" s="36"/>
      <c r="AK19" s="14"/>
      <c r="AL19" s="46"/>
      <c r="AM19" s="6">
        <f>IF(AL19=1,0,IF(AL19=2,6,IF(AL19=3,13,0)))</f>
        <v>0</v>
      </c>
      <c r="AN19" s="14"/>
      <c r="AO19" s="14"/>
      <c r="AP19" s="14"/>
      <c r="AQ19" s="14"/>
      <c r="AR19" s="14"/>
      <c r="AS19" s="14"/>
      <c r="AT19" s="14"/>
      <c r="AU19" s="14"/>
    </row>
    <row r="20" spans="1:47" ht="12.75">
      <c r="A20" s="19"/>
      <c r="B20" s="22"/>
      <c r="C20" s="14"/>
      <c r="D20" s="23">
        <f>IF(AM8,"Error: too many fish!","")</f>
      </c>
      <c r="E20" s="22"/>
      <c r="F20" s="22"/>
      <c r="G20" s="22"/>
      <c r="H20" s="22"/>
      <c r="I20" s="22"/>
      <c r="J20" s="22"/>
      <c r="K20" s="22"/>
      <c r="L20" s="22"/>
      <c r="M20" s="19"/>
      <c r="N20" s="19"/>
      <c r="O20" s="19"/>
      <c r="P20" s="19"/>
      <c r="Q20" s="22"/>
      <c r="R20" s="4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49"/>
      <c r="AN20" s="14"/>
      <c r="AO20" s="14"/>
      <c r="AP20" s="14"/>
      <c r="AQ20" s="14"/>
      <c r="AR20" s="14"/>
      <c r="AS20" s="14"/>
      <c r="AT20" s="14"/>
      <c r="AU20" s="14"/>
    </row>
    <row r="21" spans="1:47" ht="12.75">
      <c r="A21" s="19"/>
      <c r="B21" s="22"/>
      <c r="C21" s="1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4"/>
      <c r="O21" s="24"/>
      <c r="P21" s="24"/>
      <c r="Q21" s="24"/>
      <c r="R21" s="48"/>
      <c r="T21" s="14"/>
      <c r="U21" s="17">
        <v>11</v>
      </c>
      <c r="V21" s="22" t="s">
        <v>11</v>
      </c>
      <c r="W21" s="14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">
        <f>IF(AL22="","",AM22*AM21)</f>
      </c>
      <c r="AL21" s="42"/>
      <c r="AM21" s="7">
        <v>20</v>
      </c>
      <c r="AN21" s="14"/>
      <c r="AO21" s="14"/>
      <c r="AP21" s="14"/>
      <c r="AQ21" s="14"/>
      <c r="AR21" s="14"/>
      <c r="AS21" s="14"/>
      <c r="AT21" s="14"/>
      <c r="AU21" s="14"/>
    </row>
    <row r="22" spans="1:47" ht="12.75">
      <c r="A22" s="19"/>
      <c r="B22" s="22"/>
      <c r="C22" s="14" t="s">
        <v>19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7"/>
      <c r="S22" s="3">
        <f>IF(R22&gt;0,2-R22,-1)</f>
        <v>-1</v>
      </c>
      <c r="T22" s="25"/>
      <c r="U22" s="25"/>
      <c r="V22" s="22"/>
      <c r="W22" s="14" t="s">
        <v>26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4"/>
      <c r="AI22" s="24"/>
      <c r="AJ22" s="24"/>
      <c r="AK22" s="21"/>
      <c r="AL22" s="43"/>
      <c r="AM22" s="3">
        <f>IF(AL22&gt;0,2-AL22,-1)</f>
        <v>-1</v>
      </c>
      <c r="AN22" s="14"/>
      <c r="AO22" s="14"/>
      <c r="AP22" s="14"/>
      <c r="AQ22" s="14"/>
      <c r="AR22" s="14"/>
      <c r="AS22" s="14"/>
      <c r="AT22" s="14"/>
      <c r="AU22" s="14"/>
    </row>
    <row r="23" spans="1:47" ht="12.75">
      <c r="A23" s="19"/>
      <c r="B23" s="22"/>
      <c r="C23" s="1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49"/>
      <c r="AN23" s="14"/>
      <c r="AO23" s="14"/>
      <c r="AP23" s="14"/>
      <c r="AQ23" s="14"/>
      <c r="AR23" s="14"/>
      <c r="AS23" s="14"/>
      <c r="AT23" s="14"/>
      <c r="AU23" s="14"/>
    </row>
    <row r="24" spans="1:47" ht="12.75">
      <c r="A24" s="17">
        <v>6</v>
      </c>
      <c r="B24" s="22" t="s">
        <v>5</v>
      </c>
      <c r="C24" s="1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">
        <f>IF(OR(R25="",R28=""),"",S25*S24)</f>
      </c>
      <c r="R24" s="44"/>
      <c r="S24" s="6">
        <f>IF(S28=1,S27,S26)</f>
        <v>12</v>
      </c>
      <c r="T24" s="14"/>
      <c r="U24" s="17">
        <v>12</v>
      </c>
      <c r="V24" s="22" t="s">
        <v>10</v>
      </c>
      <c r="W24" s="14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">
        <f>IF(AL25="","",AM25*AM24)</f>
      </c>
      <c r="AL24" s="42"/>
      <c r="AM24" s="7">
        <v>14</v>
      </c>
      <c r="AN24" s="14"/>
      <c r="AO24" s="14"/>
      <c r="AP24" s="14"/>
      <c r="AQ24" s="14"/>
      <c r="AR24" s="14"/>
      <c r="AS24" s="14"/>
      <c r="AT24" s="14"/>
      <c r="AU24" s="14"/>
    </row>
    <row r="25" spans="1:47" ht="12.75">
      <c r="A25" s="19"/>
      <c r="B25" s="22"/>
      <c r="C25" s="14" t="s">
        <v>20</v>
      </c>
      <c r="D25" s="22"/>
      <c r="E25" s="22"/>
      <c r="F25" s="22"/>
      <c r="G25" s="22"/>
      <c r="H25" s="22"/>
      <c r="I25" s="22"/>
      <c r="J25" s="22"/>
      <c r="K25" s="22"/>
      <c r="L25" s="19">
        <v>0</v>
      </c>
      <c r="M25" s="19">
        <v>1</v>
      </c>
      <c r="N25" s="19">
        <v>2</v>
      </c>
      <c r="O25" s="19">
        <v>3</v>
      </c>
      <c r="P25" s="19">
        <v>4</v>
      </c>
      <c r="Q25" s="22"/>
      <c r="R25" s="47"/>
      <c r="S25" s="3">
        <f>R25-1</f>
        <v>-1</v>
      </c>
      <c r="T25" s="25"/>
      <c r="U25" s="25"/>
      <c r="V25" s="22"/>
      <c r="W25" s="14" t="s">
        <v>14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4"/>
      <c r="AI25" s="24"/>
      <c r="AJ25" s="24"/>
      <c r="AK25" s="14"/>
      <c r="AL25" s="43"/>
      <c r="AM25" s="3">
        <f>IF(AL25&gt;0,2-AL25,-1)</f>
        <v>-1</v>
      </c>
      <c r="AN25" s="14"/>
      <c r="AO25" s="14"/>
      <c r="AP25" s="14"/>
      <c r="AQ25" s="14"/>
      <c r="AR25" s="14"/>
      <c r="AS25" s="14"/>
      <c r="AT25" s="14"/>
      <c r="AU25" s="14"/>
    </row>
    <row r="26" spans="1:47" ht="12.75">
      <c r="A26" s="19"/>
      <c r="B26" s="22"/>
      <c r="C26" s="14"/>
      <c r="D26" s="22"/>
      <c r="E26" s="22"/>
      <c r="F26" s="22"/>
      <c r="G26" s="22"/>
      <c r="H26" s="22"/>
      <c r="I26" s="22"/>
      <c r="J26" s="22"/>
      <c r="K26" s="22"/>
      <c r="L26" s="19"/>
      <c r="M26" s="19"/>
      <c r="N26" s="19"/>
      <c r="O26" s="19"/>
      <c r="P26" s="19"/>
      <c r="Q26" s="22"/>
      <c r="R26" s="44"/>
      <c r="S26" s="7">
        <v>12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49"/>
      <c r="AN26" s="14"/>
      <c r="AO26" s="14"/>
      <c r="AP26" s="14"/>
      <c r="AQ26" s="14"/>
      <c r="AR26" s="14"/>
      <c r="AS26" s="14"/>
      <c r="AT26" s="14"/>
      <c r="AU26" s="14"/>
    </row>
    <row r="27" spans="1:47" ht="12.75">
      <c r="A27" s="19"/>
      <c r="B27" s="22"/>
      <c r="C27" s="14"/>
      <c r="D27" s="22"/>
      <c r="E27" s="22"/>
      <c r="F27" s="22"/>
      <c r="G27" s="22"/>
      <c r="H27" s="22"/>
      <c r="I27" s="22"/>
      <c r="J27" s="22"/>
      <c r="K27" s="22"/>
      <c r="L27" s="19"/>
      <c r="M27" s="19"/>
      <c r="N27" s="19"/>
      <c r="O27" s="19"/>
      <c r="P27" s="19"/>
      <c r="Q27" s="24"/>
      <c r="R27" s="48"/>
      <c r="S27" s="7">
        <v>7</v>
      </c>
      <c r="T27" s="14"/>
      <c r="U27" s="17">
        <v>13</v>
      </c>
      <c r="V27" s="22" t="s">
        <v>9</v>
      </c>
      <c r="W27" s="14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16"/>
      <c r="AK27" s="2">
        <f>IF(AM28&lt;0,"",AM28*AM27)</f>
      </c>
      <c r="AL27" s="49"/>
      <c r="AM27" s="7">
        <v>2</v>
      </c>
      <c r="AN27" s="14"/>
      <c r="AO27" s="14"/>
      <c r="AP27" s="14"/>
      <c r="AQ27" s="14"/>
      <c r="AR27" s="14"/>
      <c r="AS27" s="14"/>
      <c r="AT27" s="14"/>
      <c r="AU27" s="14"/>
    </row>
    <row r="28" spans="1:47" ht="12.75">
      <c r="A28" s="19"/>
      <c r="B28" s="22"/>
      <c r="C28" s="14" t="s">
        <v>21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24"/>
      <c r="P28" s="24"/>
      <c r="Q28" s="22"/>
      <c r="R28" s="47"/>
      <c r="S28" s="3">
        <f>IF(R28&gt;0,2-R28,-1)</f>
        <v>-1</v>
      </c>
      <c r="T28" s="25"/>
      <c r="U28" s="25"/>
      <c r="V28" s="14"/>
      <c r="W28" s="14" t="s">
        <v>25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14"/>
      <c r="AL28" s="46"/>
      <c r="AM28" s="3">
        <f>AL28-1</f>
        <v>-1</v>
      </c>
      <c r="AN28" s="14"/>
      <c r="AO28" s="14"/>
      <c r="AP28" s="14"/>
      <c r="AQ28" s="14"/>
      <c r="AR28" s="14"/>
      <c r="AS28" s="14"/>
      <c r="AT28" s="14"/>
      <c r="AU28" s="14"/>
    </row>
    <row r="29" spans="1:47" ht="12.75">
      <c r="A29" s="19"/>
      <c r="B29" s="22"/>
      <c r="C29" s="1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4"/>
      <c r="O29" s="24"/>
      <c r="P29" s="24"/>
      <c r="Q29" s="24"/>
      <c r="R29" s="48"/>
      <c r="T29" s="14"/>
      <c r="U29" s="14"/>
      <c r="V29" s="22"/>
      <c r="W29" s="14"/>
      <c r="X29" s="19">
        <v>0</v>
      </c>
      <c r="Y29" s="19">
        <v>1</v>
      </c>
      <c r="Z29" s="19">
        <v>2</v>
      </c>
      <c r="AA29" s="19">
        <v>3</v>
      </c>
      <c r="AB29" s="19">
        <v>4</v>
      </c>
      <c r="AC29" s="19">
        <v>5</v>
      </c>
      <c r="AD29" s="19">
        <v>6</v>
      </c>
      <c r="AE29" s="19">
        <v>7</v>
      </c>
      <c r="AF29" s="19">
        <v>8</v>
      </c>
      <c r="AG29" s="19">
        <v>9</v>
      </c>
      <c r="AH29" s="19">
        <v>10</v>
      </c>
      <c r="AI29" s="19">
        <v>11</v>
      </c>
      <c r="AJ29" s="19">
        <v>12</v>
      </c>
      <c r="AK29" s="14"/>
      <c r="AL29" s="49"/>
      <c r="AN29" s="14"/>
      <c r="AO29" s="14"/>
      <c r="AP29" s="14"/>
      <c r="AQ29" s="14"/>
      <c r="AR29" s="14"/>
      <c r="AS29" s="14"/>
      <c r="AT29" s="14"/>
      <c r="AU29" s="14"/>
    </row>
    <row r="30" spans="1:47" ht="12.75">
      <c r="A30" s="17">
        <v>7</v>
      </c>
      <c r="B30" s="22" t="s">
        <v>6</v>
      </c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">
        <f>IF(R31="","",S30)</f>
      </c>
      <c r="R30" s="44"/>
      <c r="S30" s="6">
        <f>IF(R31=1,S31,IF(R31=2,S32,0))</f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49"/>
      <c r="AN30" s="14"/>
      <c r="AO30" s="14"/>
      <c r="AP30" s="14"/>
      <c r="AQ30" s="14"/>
      <c r="AR30" s="14"/>
      <c r="AS30" s="14"/>
      <c r="AT30" s="14"/>
      <c r="AU30" s="14"/>
    </row>
    <row r="31" spans="1:47" ht="12.75">
      <c r="A31" s="19"/>
      <c r="B31" s="22"/>
      <c r="C31" s="14" t="s">
        <v>22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4"/>
      <c r="Q31" s="24"/>
      <c r="R31" s="47"/>
      <c r="S31" s="7">
        <v>9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49"/>
      <c r="AN31" s="14"/>
      <c r="AO31" s="14"/>
      <c r="AP31" s="14"/>
      <c r="AQ31" s="14"/>
      <c r="AR31" s="14"/>
      <c r="AS31" s="14"/>
      <c r="AT31" s="14"/>
      <c r="AU31" s="14"/>
    </row>
    <row r="32" spans="1:47" ht="12.75">
      <c r="A32" s="19"/>
      <c r="B32" s="22"/>
      <c r="C32" s="1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4"/>
      <c r="Q32" s="24"/>
      <c r="R32" s="48"/>
      <c r="S32" s="7">
        <v>5</v>
      </c>
      <c r="T32" s="14"/>
      <c r="U32" s="17">
        <v>14</v>
      </c>
      <c r="V32" s="22" t="s">
        <v>8</v>
      </c>
      <c r="W32" s="14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">
        <f>IF(AL33="","",AM33*AM32)</f>
      </c>
      <c r="AL32" s="42"/>
      <c r="AM32" s="7">
        <v>9</v>
      </c>
      <c r="AN32" s="14"/>
      <c r="AO32" s="14"/>
      <c r="AP32" s="14"/>
      <c r="AQ32" s="14"/>
      <c r="AR32" s="14"/>
      <c r="AS32" s="14"/>
      <c r="AT32" s="14"/>
      <c r="AU32" s="14"/>
    </row>
    <row r="33" spans="1:47" ht="12.75">
      <c r="A33" s="17">
        <v>8</v>
      </c>
      <c r="B33" s="22" t="s">
        <v>7</v>
      </c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">
        <f>IF(R34="","",S34*S33)</f>
      </c>
      <c r="R33" s="44"/>
      <c r="S33" s="7">
        <v>4</v>
      </c>
      <c r="T33" s="14"/>
      <c r="U33" s="14"/>
      <c r="V33" s="14"/>
      <c r="W33" s="14" t="s">
        <v>24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4"/>
      <c r="AI33" s="24"/>
      <c r="AJ33" s="24"/>
      <c r="AK33" s="21"/>
      <c r="AL33" s="43"/>
      <c r="AM33" s="3">
        <f>IF(AL33&gt;0,2-AL33,-1)</f>
        <v>-1</v>
      </c>
      <c r="AN33" s="14"/>
      <c r="AO33" s="14"/>
      <c r="AP33" s="14"/>
      <c r="AQ33" s="14"/>
      <c r="AR33" s="14"/>
      <c r="AS33" s="14"/>
      <c r="AT33" s="14"/>
      <c r="AU33" s="14"/>
    </row>
    <row r="34" spans="1:47" ht="12.75">
      <c r="A34" s="19"/>
      <c r="B34" s="14"/>
      <c r="C34" s="14" t="s">
        <v>23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9">
        <v>0</v>
      </c>
      <c r="O34" s="19">
        <v>1</v>
      </c>
      <c r="P34" s="19">
        <v>2</v>
      </c>
      <c r="Q34" s="22"/>
      <c r="R34" s="47"/>
      <c r="S34" s="3">
        <f>R34-1</f>
        <v>-1</v>
      </c>
      <c r="T34" s="25"/>
      <c r="U34" s="2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49"/>
      <c r="AN34" s="14"/>
      <c r="AO34" s="14"/>
      <c r="AP34" s="14"/>
      <c r="AQ34" s="14"/>
      <c r="AR34" s="14"/>
      <c r="AS34" s="14"/>
      <c r="AT34" s="14"/>
      <c r="AU34" s="14"/>
    </row>
    <row r="35" spans="1:47" ht="12.75" customHeight="1">
      <c r="A35" s="1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4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49"/>
      <c r="AN35" s="14"/>
      <c r="AO35" s="14"/>
      <c r="AP35" s="14"/>
      <c r="AQ35" s="14"/>
      <c r="AR35" s="14"/>
      <c r="AS35" s="14"/>
      <c r="AT35" s="14"/>
      <c r="AU35" s="14"/>
    </row>
    <row r="36" spans="1:47" ht="12.75" customHeight="1">
      <c r="A36" s="1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44"/>
      <c r="T36" s="14"/>
      <c r="U36" s="14" t="str">
        <f>IF(AM36="","",AM36)</f>
        <v>Score List row 51: Team 3 Robotic Ravioli score #3: 133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49"/>
      <c r="AM36" s="61" t="s">
        <v>167</v>
      </c>
      <c r="AN36" s="14"/>
      <c r="AO36" s="14"/>
      <c r="AP36" s="14"/>
      <c r="AQ36" s="14"/>
      <c r="AR36" s="14"/>
      <c r="AS36" s="14"/>
      <c r="AT36" s="14"/>
      <c r="AU36" s="14"/>
    </row>
    <row r="37" spans="1:47" ht="12.75" customHeight="1">
      <c r="A37" s="13"/>
      <c r="B37" s="14"/>
      <c r="C37" s="1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N37" s="14"/>
      <c r="AO37" s="14"/>
      <c r="AP37" s="14"/>
      <c r="AQ37" s="14"/>
      <c r="AR37" s="14"/>
      <c r="AS37" s="14"/>
      <c r="AT37" s="14"/>
      <c r="AU37" s="14"/>
    </row>
    <row r="38" spans="1:47" ht="12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4"/>
      <c r="AK38" s="14"/>
      <c r="AN38" s="14"/>
      <c r="AO38" s="14"/>
      <c r="AP38" s="14"/>
      <c r="AQ38" s="14"/>
      <c r="AR38" s="14"/>
      <c r="AS38" s="14"/>
      <c r="AT38" s="14"/>
      <c r="AU38" s="14"/>
    </row>
    <row r="39" spans="1:47" ht="12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4"/>
      <c r="AK39" s="14"/>
      <c r="AN39" s="14"/>
      <c r="AO39" s="14"/>
      <c r="AP39" s="14"/>
      <c r="AQ39" s="14"/>
      <c r="AR39" s="14"/>
      <c r="AS39" s="14"/>
      <c r="AT39" s="14"/>
      <c r="AU39" s="14"/>
    </row>
    <row r="40" spans="1:47" ht="12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4"/>
      <c r="AK40" s="14"/>
      <c r="AN40" s="14"/>
      <c r="AO40" s="14"/>
      <c r="AP40" s="14"/>
      <c r="AQ40" s="14"/>
      <c r="AR40" s="14"/>
      <c r="AS40" s="14"/>
      <c r="AT40" s="14"/>
      <c r="AU40" s="14"/>
    </row>
    <row r="41" spans="1:47" ht="12.7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N41" s="14"/>
      <c r="AO41" s="14"/>
      <c r="AP41" s="14"/>
      <c r="AQ41" s="14"/>
      <c r="AR41" s="14"/>
      <c r="AS41" s="14"/>
      <c r="AT41" s="14"/>
      <c r="AU41" s="14"/>
    </row>
    <row r="42" ht="12.75" customHeight="1"/>
  </sheetData>
  <sheetProtection sheet="1" objects="1" scenarios="1"/>
  <conditionalFormatting sqref="Q2 Q7 Q10 Q14 Q18 Q24 Q30 Q33 AK27 AK2 AK10 AK18 AK21 AK24 AK32">
    <cfRule type="cellIs" priority="1" dxfId="4" operator="equal" stopIfTrue="1">
      <formula>""</formula>
    </cfRule>
  </conditionalFormatting>
  <conditionalFormatting sqref="E1">
    <cfRule type="cellIs" priority="2" dxfId="3" operator="greaterThan" stopIfTrue="1">
      <formula>0</formula>
    </cfRule>
  </conditionalFormatting>
  <conditionalFormatting sqref="I1:Q1">
    <cfRule type="expression" priority="3" dxfId="4" stopIfTrue="1">
      <formula>NOT($S$1)</formula>
    </cfRule>
  </conditionalFormatting>
  <conditionalFormatting sqref="X1">
    <cfRule type="expression" priority="4" dxfId="5" stopIfTrue="1">
      <formula>AM1</formula>
    </cfRule>
  </conditionalFormatting>
  <conditionalFormatting sqref="AK1">
    <cfRule type="expression" priority="5" dxfId="4" stopIfTrue="1">
      <formula>NOT(AM1)</formula>
    </cfRule>
  </conditionalFormatting>
  <conditionalFormatting sqref="V1">
    <cfRule type="cellIs" priority="6" dxfId="4" operator="equal" stopIfTrue="1">
      <formula>"?"</formula>
    </cfRule>
  </conditionalFormatting>
  <printOptions/>
  <pageMargins left="0.75" right="0.75" top="1" bottom="1" header="0.5" footer="0.5"/>
  <pageSetup fitToHeight="1" fitToWidth="1" horizontalDpi="600" verticalDpi="600" orientation="landscape" scale="9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T76"/>
  <sheetViews>
    <sheetView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" sqref="F2"/>
    </sheetView>
  </sheetViews>
  <sheetFormatPr defaultColWidth="9.140625" defaultRowHeight="12.75"/>
  <cols>
    <col min="1" max="1" width="3.28125" style="52" bestFit="1" customWidth="1"/>
    <col min="2" max="2" width="21.8515625" style="52" customWidth="1"/>
    <col min="3" max="3" width="3.28125" style="52" bestFit="1" customWidth="1"/>
    <col min="4" max="4" width="8.140625" style="52" customWidth="1"/>
    <col min="5" max="19" width="3.28125" style="52" bestFit="1" customWidth="1"/>
    <col min="20" max="20" width="6.8515625" style="52" customWidth="1"/>
  </cols>
  <sheetData>
    <row r="1" spans="1:19" ht="73.5" customHeight="1">
      <c r="A1" s="55" t="s">
        <v>43</v>
      </c>
      <c r="B1" s="53" t="s">
        <v>42</v>
      </c>
      <c r="C1" s="55" t="s">
        <v>44</v>
      </c>
      <c r="D1" s="54" t="s">
        <v>45</v>
      </c>
      <c r="E1" s="55" t="s">
        <v>0</v>
      </c>
      <c r="F1" s="55" t="s">
        <v>170</v>
      </c>
      <c r="G1" s="55" t="s">
        <v>55</v>
      </c>
      <c r="H1" s="55" t="s">
        <v>47</v>
      </c>
      <c r="I1" s="55" t="s">
        <v>4</v>
      </c>
      <c r="J1" s="55" t="s">
        <v>5</v>
      </c>
      <c r="K1" s="55" t="s">
        <v>6</v>
      </c>
      <c r="L1" s="55" t="s">
        <v>48</v>
      </c>
      <c r="M1" s="55" t="s">
        <v>49</v>
      </c>
      <c r="N1" s="55" t="s">
        <v>50</v>
      </c>
      <c r="O1" s="55" t="s">
        <v>51</v>
      </c>
      <c r="P1" s="55" t="s">
        <v>52</v>
      </c>
      <c r="Q1" s="55" t="s">
        <v>53</v>
      </c>
      <c r="R1" s="55" t="s">
        <v>9</v>
      </c>
      <c r="S1" s="55" t="s">
        <v>54</v>
      </c>
    </row>
    <row r="2" spans="1:20" ht="13.5" thickBot="1">
      <c r="A2" s="56">
        <f>'Score Entry'!E1</f>
        <v>0</v>
      </c>
      <c r="B2" s="56" t="str">
        <f>'Score Entry'!I1</f>
        <v>&lt;--Enter Valid Team Pit #</v>
      </c>
      <c r="C2" s="56" t="str">
        <f>IF(A2,COUNTIF(A4:A975,A2)+1,"?")</f>
        <v>?</v>
      </c>
      <c r="D2" s="56">
        <f>'Score Entry'!AK1</f>
        <v>0</v>
      </c>
      <c r="E2" s="56">
        <f>'Score Entry'!Q2</f>
      </c>
      <c r="F2" s="56">
        <f>'Score Entry'!Q7</f>
      </c>
      <c r="G2" s="56">
        <f>'Score Entry'!Q10</f>
      </c>
      <c r="H2" s="56">
        <f>'Score Entry'!Q14</f>
      </c>
      <c r="I2" s="56">
        <f>'Score Entry'!Q18</f>
      </c>
      <c r="J2" s="56">
        <f>'Score Entry'!Q24</f>
      </c>
      <c r="K2" s="56">
        <f>'Score Entry'!Q30</f>
      </c>
      <c r="L2" s="56">
        <f>'Score Entry'!Q33</f>
      </c>
      <c r="M2" s="56">
        <f>'Score Entry'!AK2</f>
      </c>
      <c r="N2" s="56">
        <f>'Score Entry'!AK10</f>
      </c>
      <c r="O2" s="56">
        <f>'Score Entry'!AK18</f>
      </c>
      <c r="P2" s="56">
        <f>'Score Entry'!AK21</f>
      </c>
      <c r="Q2" s="56">
        <f>'Score Entry'!AK24</f>
      </c>
      <c r="R2" s="56">
        <f>'Score Entry'!AK27</f>
      </c>
      <c r="S2" s="56">
        <f>'Score Entry'!AK32</f>
      </c>
      <c r="T2" s="56" t="str">
        <f>A2&amp;"R"&amp;C2</f>
        <v>0R?</v>
      </c>
    </row>
    <row r="3" spans="1:20" ht="13.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2.75">
      <c r="A4" s="59">
        <v>6</v>
      </c>
      <c r="B4" s="59" t="s">
        <v>76</v>
      </c>
      <c r="C4" s="59">
        <v>1</v>
      </c>
      <c r="D4" s="59">
        <v>103</v>
      </c>
      <c r="E4" s="59">
        <v>60</v>
      </c>
      <c r="F4" s="59">
        <v>0</v>
      </c>
      <c r="G4" s="59">
        <v>0</v>
      </c>
      <c r="H4" s="59">
        <v>0</v>
      </c>
      <c r="I4" s="59">
        <v>0</v>
      </c>
      <c r="J4" s="59">
        <v>21</v>
      </c>
      <c r="K4" s="59">
        <v>5</v>
      </c>
      <c r="L4" s="59">
        <v>8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9</v>
      </c>
      <c r="T4" s="70" t="s">
        <v>119</v>
      </c>
    </row>
    <row r="5" spans="1:20" ht="12.75">
      <c r="A5" s="58">
        <v>5</v>
      </c>
      <c r="B5" s="58" t="s">
        <v>86</v>
      </c>
      <c r="C5" s="58">
        <v>1</v>
      </c>
      <c r="D5" s="58">
        <v>64</v>
      </c>
      <c r="E5" s="58">
        <v>60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4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70" t="s">
        <v>120</v>
      </c>
    </row>
    <row r="6" spans="1:20" ht="12.75">
      <c r="A6" s="58">
        <v>7</v>
      </c>
      <c r="B6" s="58" t="s">
        <v>87</v>
      </c>
      <c r="C6" s="58">
        <v>1</v>
      </c>
      <c r="D6" s="58">
        <v>82</v>
      </c>
      <c r="E6" s="58">
        <v>42</v>
      </c>
      <c r="F6" s="58">
        <v>9</v>
      </c>
      <c r="G6" s="58">
        <v>0</v>
      </c>
      <c r="H6" s="58">
        <v>0</v>
      </c>
      <c r="I6" s="58">
        <v>9</v>
      </c>
      <c r="J6" s="58">
        <v>14</v>
      </c>
      <c r="K6" s="58">
        <v>0</v>
      </c>
      <c r="L6" s="58">
        <v>8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70" t="s">
        <v>121</v>
      </c>
    </row>
    <row r="7" spans="1:20" ht="12.75">
      <c r="A7" s="58">
        <v>8</v>
      </c>
      <c r="B7" s="58" t="s">
        <v>118</v>
      </c>
      <c r="C7" s="58">
        <v>1</v>
      </c>
      <c r="D7" s="58">
        <v>93</v>
      </c>
      <c r="E7" s="58">
        <v>60</v>
      </c>
      <c r="F7" s="58">
        <v>9</v>
      </c>
      <c r="G7" s="58">
        <v>15</v>
      </c>
      <c r="H7" s="58">
        <v>0</v>
      </c>
      <c r="I7" s="58">
        <v>0</v>
      </c>
      <c r="J7" s="58">
        <v>0</v>
      </c>
      <c r="K7" s="58">
        <v>5</v>
      </c>
      <c r="L7" s="58">
        <v>4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70" t="s">
        <v>122</v>
      </c>
    </row>
    <row r="8" spans="1:20" ht="12.75">
      <c r="A8" s="58">
        <v>10</v>
      </c>
      <c r="B8" s="58" t="s">
        <v>77</v>
      </c>
      <c r="C8" s="58">
        <v>1</v>
      </c>
      <c r="D8" s="58">
        <v>110</v>
      </c>
      <c r="E8" s="58">
        <v>60</v>
      </c>
      <c r="F8" s="58">
        <v>0</v>
      </c>
      <c r="G8" s="58">
        <v>0</v>
      </c>
      <c r="H8" s="58">
        <v>0</v>
      </c>
      <c r="I8" s="58">
        <v>0</v>
      </c>
      <c r="J8" s="58">
        <v>21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20</v>
      </c>
      <c r="S8" s="58">
        <v>9</v>
      </c>
      <c r="T8" s="70" t="s">
        <v>123</v>
      </c>
    </row>
    <row r="9" spans="1:20" ht="12.75">
      <c r="A9" s="58">
        <v>9</v>
      </c>
      <c r="B9" s="58" t="s">
        <v>78</v>
      </c>
      <c r="C9" s="58">
        <v>1</v>
      </c>
      <c r="D9" s="58">
        <v>98</v>
      </c>
      <c r="E9" s="58">
        <v>60</v>
      </c>
      <c r="F9" s="58">
        <v>9</v>
      </c>
      <c r="G9" s="58">
        <v>0</v>
      </c>
      <c r="H9" s="58">
        <v>0</v>
      </c>
      <c r="I9" s="58">
        <v>9</v>
      </c>
      <c r="J9" s="58">
        <v>7</v>
      </c>
      <c r="K9" s="58">
        <v>9</v>
      </c>
      <c r="L9" s="58">
        <v>4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70" t="s">
        <v>124</v>
      </c>
    </row>
    <row r="10" spans="1:20" ht="12.75">
      <c r="A10" s="58">
        <v>12</v>
      </c>
      <c r="B10" s="58" t="s">
        <v>89</v>
      </c>
      <c r="C10" s="58">
        <v>1</v>
      </c>
      <c r="D10" s="58">
        <v>92</v>
      </c>
      <c r="E10" s="58">
        <v>60</v>
      </c>
      <c r="F10" s="58">
        <v>0</v>
      </c>
      <c r="G10" s="58">
        <v>0</v>
      </c>
      <c r="H10" s="58">
        <v>0</v>
      </c>
      <c r="I10" s="58">
        <v>0</v>
      </c>
      <c r="J10" s="58">
        <v>14</v>
      </c>
      <c r="K10" s="58">
        <v>9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9</v>
      </c>
      <c r="T10" s="70" t="s">
        <v>125</v>
      </c>
    </row>
    <row r="11" spans="1:20" ht="12.75">
      <c r="A11" s="58">
        <v>11</v>
      </c>
      <c r="B11" s="58" t="s">
        <v>82</v>
      </c>
      <c r="C11" s="58">
        <v>1</v>
      </c>
      <c r="D11" s="58">
        <v>131</v>
      </c>
      <c r="E11" s="58">
        <v>66</v>
      </c>
      <c r="F11" s="58">
        <v>0</v>
      </c>
      <c r="G11" s="58">
        <v>15</v>
      </c>
      <c r="H11" s="58">
        <v>0</v>
      </c>
      <c r="I11" s="58">
        <v>0</v>
      </c>
      <c r="J11" s="58">
        <v>14</v>
      </c>
      <c r="K11" s="58">
        <v>0</v>
      </c>
      <c r="L11" s="58">
        <v>4</v>
      </c>
      <c r="M11" s="58">
        <v>12</v>
      </c>
      <c r="N11" s="58">
        <v>0</v>
      </c>
      <c r="O11" s="58">
        <v>0</v>
      </c>
      <c r="P11" s="58">
        <v>0</v>
      </c>
      <c r="Q11" s="58">
        <v>0</v>
      </c>
      <c r="R11" s="58">
        <v>20</v>
      </c>
      <c r="S11" s="58">
        <v>0</v>
      </c>
      <c r="T11" s="70" t="s">
        <v>126</v>
      </c>
    </row>
    <row r="12" spans="1:20" ht="12.75">
      <c r="A12" s="58">
        <v>13</v>
      </c>
      <c r="B12" s="58" t="s">
        <v>90</v>
      </c>
      <c r="C12" s="58">
        <v>1</v>
      </c>
      <c r="D12" s="58">
        <v>115</v>
      </c>
      <c r="E12" s="58">
        <v>72</v>
      </c>
      <c r="F12" s="58">
        <v>0</v>
      </c>
      <c r="G12" s="58">
        <v>0</v>
      </c>
      <c r="H12" s="58">
        <v>7</v>
      </c>
      <c r="I12" s="58">
        <v>9</v>
      </c>
      <c r="J12" s="58">
        <v>14</v>
      </c>
      <c r="K12" s="58">
        <v>0</v>
      </c>
      <c r="L12" s="58">
        <v>4</v>
      </c>
      <c r="M12" s="58">
        <v>0</v>
      </c>
      <c r="N12" s="58">
        <v>3</v>
      </c>
      <c r="O12" s="58">
        <v>6</v>
      </c>
      <c r="P12" s="58">
        <v>0</v>
      </c>
      <c r="Q12" s="58">
        <v>0</v>
      </c>
      <c r="R12" s="58">
        <v>0</v>
      </c>
      <c r="S12" s="58">
        <v>0</v>
      </c>
      <c r="T12" s="70" t="s">
        <v>127</v>
      </c>
    </row>
    <row r="13" spans="1:20" ht="12.75">
      <c r="A13" s="58">
        <v>15</v>
      </c>
      <c r="B13" s="58" t="s">
        <v>83</v>
      </c>
      <c r="C13" s="58">
        <v>1</v>
      </c>
      <c r="D13" s="58">
        <v>80</v>
      </c>
      <c r="E13" s="58">
        <v>66</v>
      </c>
      <c r="F13" s="58">
        <v>0</v>
      </c>
      <c r="G13" s="58">
        <v>0</v>
      </c>
      <c r="H13" s="58">
        <v>0</v>
      </c>
      <c r="I13" s="58">
        <v>9</v>
      </c>
      <c r="J13" s="58">
        <v>0</v>
      </c>
      <c r="K13" s="58">
        <v>5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70" t="s">
        <v>128</v>
      </c>
    </row>
    <row r="14" spans="1:20" ht="12.75">
      <c r="A14" s="58">
        <v>14</v>
      </c>
      <c r="B14" s="58" t="s">
        <v>91</v>
      </c>
      <c r="C14" s="58">
        <v>1</v>
      </c>
      <c r="D14" s="58">
        <v>133</v>
      </c>
      <c r="E14" s="58">
        <v>72</v>
      </c>
      <c r="F14" s="58">
        <v>9</v>
      </c>
      <c r="G14" s="58">
        <v>0</v>
      </c>
      <c r="H14" s="58">
        <v>0</v>
      </c>
      <c r="I14" s="58">
        <v>9</v>
      </c>
      <c r="J14" s="58">
        <v>14</v>
      </c>
      <c r="K14" s="58">
        <v>9</v>
      </c>
      <c r="L14" s="58">
        <v>8</v>
      </c>
      <c r="M14" s="58">
        <v>12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70" t="s">
        <v>129</v>
      </c>
    </row>
    <row r="15" spans="1:20" ht="12.75">
      <c r="A15" s="58">
        <v>16</v>
      </c>
      <c r="B15" s="58" t="s">
        <v>79</v>
      </c>
      <c r="C15" s="58">
        <v>1</v>
      </c>
      <c r="D15" s="58">
        <v>90</v>
      </c>
      <c r="E15" s="58">
        <v>60</v>
      </c>
      <c r="F15" s="58">
        <v>9</v>
      </c>
      <c r="G15" s="58">
        <v>0</v>
      </c>
      <c r="H15" s="58">
        <v>0</v>
      </c>
      <c r="I15" s="58">
        <v>0</v>
      </c>
      <c r="J15" s="58">
        <v>7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14</v>
      </c>
      <c r="S15" s="58">
        <v>0</v>
      </c>
      <c r="T15" s="70" t="s">
        <v>130</v>
      </c>
    </row>
    <row r="16" spans="1:20" ht="12.75">
      <c r="A16" s="58">
        <v>5</v>
      </c>
      <c r="B16" s="58" t="s">
        <v>86</v>
      </c>
      <c r="C16" s="58">
        <v>2</v>
      </c>
      <c r="D16" s="58">
        <v>63</v>
      </c>
      <c r="E16" s="58">
        <v>54</v>
      </c>
      <c r="F16" s="58">
        <v>9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70" t="s">
        <v>131</v>
      </c>
    </row>
    <row r="17" spans="1:20" ht="12.75">
      <c r="A17" s="58">
        <v>7</v>
      </c>
      <c r="B17" s="58" t="s">
        <v>87</v>
      </c>
      <c r="C17" s="58">
        <v>2</v>
      </c>
      <c r="D17" s="58">
        <v>135</v>
      </c>
      <c r="E17" s="58">
        <v>72</v>
      </c>
      <c r="F17" s="58">
        <v>9</v>
      </c>
      <c r="G17" s="58">
        <v>0</v>
      </c>
      <c r="H17" s="58">
        <v>0</v>
      </c>
      <c r="I17" s="58">
        <v>9</v>
      </c>
      <c r="J17" s="58">
        <v>14</v>
      </c>
      <c r="K17" s="58">
        <v>0</v>
      </c>
      <c r="L17" s="58">
        <v>4</v>
      </c>
      <c r="M17" s="58">
        <v>12</v>
      </c>
      <c r="N17" s="58">
        <v>0</v>
      </c>
      <c r="O17" s="58">
        <v>6</v>
      </c>
      <c r="P17" s="58">
        <v>0</v>
      </c>
      <c r="Q17" s="58">
        <v>0</v>
      </c>
      <c r="R17" s="58">
        <v>0</v>
      </c>
      <c r="S17" s="58">
        <v>9</v>
      </c>
      <c r="T17" s="58" t="s">
        <v>132</v>
      </c>
    </row>
    <row r="18" spans="1:20" ht="12.75">
      <c r="A18" s="58">
        <v>6</v>
      </c>
      <c r="B18" s="58" t="s">
        <v>76</v>
      </c>
      <c r="C18" s="58">
        <v>2</v>
      </c>
      <c r="D18" s="58">
        <v>87</v>
      </c>
      <c r="E18" s="58">
        <v>60</v>
      </c>
      <c r="F18" s="58">
        <v>0</v>
      </c>
      <c r="G18" s="58">
        <v>0</v>
      </c>
      <c r="H18" s="58">
        <v>0</v>
      </c>
      <c r="I18" s="58">
        <v>0</v>
      </c>
      <c r="J18" s="58">
        <v>14</v>
      </c>
      <c r="K18" s="58">
        <v>5</v>
      </c>
      <c r="L18" s="58">
        <v>8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 t="s">
        <v>133</v>
      </c>
    </row>
    <row r="19" spans="1:20" ht="12.75">
      <c r="A19" s="58">
        <v>8</v>
      </c>
      <c r="B19" s="58" t="s">
        <v>118</v>
      </c>
      <c r="C19" s="58">
        <v>2</v>
      </c>
      <c r="D19" s="58">
        <v>87</v>
      </c>
      <c r="E19" s="58">
        <v>72</v>
      </c>
      <c r="F19" s="58">
        <v>9</v>
      </c>
      <c r="G19" s="58">
        <v>0</v>
      </c>
      <c r="H19" s="58">
        <v>0</v>
      </c>
      <c r="I19" s="58">
        <v>6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 t="s">
        <v>134</v>
      </c>
    </row>
    <row r="20" spans="1:20" ht="12.75">
      <c r="A20" s="58">
        <v>9</v>
      </c>
      <c r="B20" s="58" t="s">
        <v>78</v>
      </c>
      <c r="C20" s="58">
        <v>2</v>
      </c>
      <c r="D20" s="58">
        <v>114</v>
      </c>
      <c r="E20" s="58">
        <v>72</v>
      </c>
      <c r="F20" s="58">
        <v>9</v>
      </c>
      <c r="G20" s="58">
        <v>0</v>
      </c>
      <c r="H20" s="58">
        <v>0</v>
      </c>
      <c r="I20" s="58">
        <v>9</v>
      </c>
      <c r="J20" s="58">
        <v>7</v>
      </c>
      <c r="K20" s="58">
        <v>9</v>
      </c>
      <c r="L20" s="58">
        <v>8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 t="s">
        <v>135</v>
      </c>
    </row>
    <row r="21" spans="1:20" ht="12.75">
      <c r="A21" s="58">
        <v>11</v>
      </c>
      <c r="B21" s="58" t="s">
        <v>82</v>
      </c>
      <c r="C21" s="58">
        <v>2</v>
      </c>
      <c r="D21" s="58">
        <v>124</v>
      </c>
      <c r="E21" s="58">
        <v>66</v>
      </c>
      <c r="F21" s="58">
        <v>9</v>
      </c>
      <c r="G21" s="58">
        <v>0</v>
      </c>
      <c r="H21" s="58">
        <v>0</v>
      </c>
      <c r="I21" s="58">
        <v>0</v>
      </c>
      <c r="J21" s="58">
        <v>21</v>
      </c>
      <c r="K21" s="58">
        <v>0</v>
      </c>
      <c r="L21" s="58">
        <v>4</v>
      </c>
      <c r="M21" s="58">
        <v>0</v>
      </c>
      <c r="N21" s="58">
        <v>0</v>
      </c>
      <c r="O21" s="58">
        <v>0</v>
      </c>
      <c r="P21" s="58">
        <v>20</v>
      </c>
      <c r="Q21" s="58">
        <v>0</v>
      </c>
      <c r="R21" s="58">
        <v>4</v>
      </c>
      <c r="S21" s="58">
        <v>0</v>
      </c>
      <c r="T21" s="58" t="s">
        <v>136</v>
      </c>
    </row>
    <row r="22" spans="1:20" ht="12.75">
      <c r="A22" s="58">
        <v>12</v>
      </c>
      <c r="B22" s="58" t="s">
        <v>89</v>
      </c>
      <c r="C22" s="58">
        <v>2</v>
      </c>
      <c r="D22" s="58">
        <v>103</v>
      </c>
      <c r="E22" s="58">
        <v>66</v>
      </c>
      <c r="F22" s="58">
        <v>0</v>
      </c>
      <c r="G22" s="58">
        <v>0</v>
      </c>
      <c r="H22" s="58">
        <v>0</v>
      </c>
      <c r="I22" s="58">
        <v>9</v>
      </c>
      <c r="J22" s="58">
        <v>14</v>
      </c>
      <c r="K22" s="58">
        <v>5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9</v>
      </c>
      <c r="T22" s="58" t="s">
        <v>137</v>
      </c>
    </row>
    <row r="23" spans="1:20" ht="12.75">
      <c r="A23" s="58">
        <v>10</v>
      </c>
      <c r="B23" s="58" t="s">
        <v>77</v>
      </c>
      <c r="C23" s="58">
        <v>2</v>
      </c>
      <c r="D23" s="58">
        <v>112</v>
      </c>
      <c r="E23" s="58">
        <v>66</v>
      </c>
      <c r="F23" s="58">
        <v>0</v>
      </c>
      <c r="G23" s="58">
        <v>0</v>
      </c>
      <c r="H23" s="58">
        <v>0</v>
      </c>
      <c r="I23" s="58">
        <v>0</v>
      </c>
      <c r="J23" s="58">
        <v>21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16</v>
      </c>
      <c r="S23" s="58">
        <v>9</v>
      </c>
      <c r="T23" s="58" t="s">
        <v>138</v>
      </c>
    </row>
    <row r="24" spans="1:20" ht="12.75">
      <c r="A24" s="58">
        <v>15</v>
      </c>
      <c r="B24" s="58" t="s">
        <v>83</v>
      </c>
      <c r="C24" s="58">
        <v>2</v>
      </c>
      <c r="D24" s="58">
        <v>113</v>
      </c>
      <c r="E24" s="58">
        <v>66</v>
      </c>
      <c r="F24" s="58">
        <v>9</v>
      </c>
      <c r="G24" s="58">
        <v>0</v>
      </c>
      <c r="H24" s="58">
        <v>0</v>
      </c>
      <c r="I24" s="58">
        <v>9</v>
      </c>
      <c r="J24" s="58">
        <v>7</v>
      </c>
      <c r="K24" s="58">
        <v>9</v>
      </c>
      <c r="L24" s="58">
        <v>4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9</v>
      </c>
      <c r="T24" s="58" t="s">
        <v>139</v>
      </c>
    </row>
    <row r="25" spans="1:20" ht="12.75">
      <c r="A25" s="58">
        <v>13</v>
      </c>
      <c r="B25" s="58" t="s">
        <v>90</v>
      </c>
      <c r="C25" s="58">
        <v>2</v>
      </c>
      <c r="D25" s="58">
        <v>134</v>
      </c>
      <c r="E25" s="58">
        <v>72</v>
      </c>
      <c r="F25" s="58">
        <v>0</v>
      </c>
      <c r="G25" s="58">
        <v>15</v>
      </c>
      <c r="H25" s="58">
        <v>7</v>
      </c>
      <c r="I25" s="58">
        <v>9</v>
      </c>
      <c r="J25" s="58">
        <v>21</v>
      </c>
      <c r="K25" s="58">
        <v>0</v>
      </c>
      <c r="L25" s="58">
        <v>4</v>
      </c>
      <c r="M25" s="58">
        <v>0</v>
      </c>
      <c r="N25" s="58">
        <v>0</v>
      </c>
      <c r="O25" s="58">
        <v>6</v>
      </c>
      <c r="P25" s="58">
        <v>0</v>
      </c>
      <c r="Q25" s="58">
        <v>0</v>
      </c>
      <c r="R25" s="58">
        <v>0</v>
      </c>
      <c r="S25" s="58">
        <v>0</v>
      </c>
      <c r="T25" s="58" t="s">
        <v>140</v>
      </c>
    </row>
    <row r="26" spans="1:20" ht="12.75">
      <c r="A26" s="58">
        <v>2</v>
      </c>
      <c r="B26" s="58" t="s">
        <v>80</v>
      </c>
      <c r="C26" s="58">
        <v>1</v>
      </c>
      <c r="D26" s="58">
        <v>110</v>
      </c>
      <c r="E26" s="58">
        <v>72</v>
      </c>
      <c r="F26" s="58">
        <v>9</v>
      </c>
      <c r="G26" s="58">
        <v>0</v>
      </c>
      <c r="H26" s="58">
        <v>0</v>
      </c>
      <c r="I26" s="58">
        <v>6</v>
      </c>
      <c r="J26" s="58">
        <v>14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9</v>
      </c>
      <c r="T26" s="58" t="s">
        <v>141</v>
      </c>
    </row>
    <row r="27" spans="1:20" ht="12.75">
      <c r="A27" s="58">
        <v>1</v>
      </c>
      <c r="B27" s="58" t="s">
        <v>84</v>
      </c>
      <c r="C27" s="58">
        <v>1</v>
      </c>
      <c r="D27" s="58">
        <v>152</v>
      </c>
      <c r="E27" s="58">
        <v>66</v>
      </c>
      <c r="F27" s="58">
        <v>9</v>
      </c>
      <c r="G27" s="58">
        <v>15</v>
      </c>
      <c r="H27" s="58">
        <v>0</v>
      </c>
      <c r="I27" s="58">
        <v>0</v>
      </c>
      <c r="J27" s="58">
        <v>24</v>
      </c>
      <c r="K27" s="58">
        <v>9</v>
      </c>
      <c r="L27" s="58">
        <v>8</v>
      </c>
      <c r="M27" s="58">
        <v>12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9</v>
      </c>
      <c r="T27" s="58" t="s">
        <v>142</v>
      </c>
    </row>
    <row r="28" spans="1:20" ht="12.75">
      <c r="A28" s="58">
        <v>4</v>
      </c>
      <c r="B28" s="58" t="s">
        <v>85</v>
      </c>
      <c r="C28" s="58">
        <v>1</v>
      </c>
      <c r="D28" s="58">
        <v>99</v>
      </c>
      <c r="E28" s="58">
        <v>60</v>
      </c>
      <c r="F28" s="58">
        <v>0</v>
      </c>
      <c r="G28" s="58">
        <v>0</v>
      </c>
      <c r="H28" s="58">
        <v>14</v>
      </c>
      <c r="I28" s="58">
        <v>0</v>
      </c>
      <c r="J28" s="58">
        <v>21</v>
      </c>
      <c r="K28" s="58">
        <v>0</v>
      </c>
      <c r="L28" s="58">
        <v>4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 t="s">
        <v>143</v>
      </c>
    </row>
    <row r="29" spans="1:20" ht="12.75">
      <c r="A29" s="58">
        <v>3</v>
      </c>
      <c r="B29" s="58" t="s">
        <v>81</v>
      </c>
      <c r="C29" s="58">
        <v>1</v>
      </c>
      <c r="D29" s="58">
        <v>132</v>
      </c>
      <c r="E29" s="58">
        <v>72</v>
      </c>
      <c r="F29" s="58">
        <v>0</v>
      </c>
      <c r="G29" s="58">
        <v>15</v>
      </c>
      <c r="H29" s="58">
        <v>0</v>
      </c>
      <c r="I29" s="58">
        <v>9</v>
      </c>
      <c r="J29" s="58">
        <v>7</v>
      </c>
      <c r="K29" s="58">
        <v>9</v>
      </c>
      <c r="L29" s="58">
        <v>8</v>
      </c>
      <c r="M29" s="58">
        <v>12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 t="s">
        <v>144</v>
      </c>
    </row>
    <row r="30" spans="1:20" ht="12.75">
      <c r="A30" s="58">
        <v>9</v>
      </c>
      <c r="B30" s="58" t="s">
        <v>78</v>
      </c>
      <c r="C30" s="58">
        <v>3</v>
      </c>
      <c r="D30" s="58">
        <v>122</v>
      </c>
      <c r="E30" s="58">
        <v>72</v>
      </c>
      <c r="F30" s="58">
        <v>0</v>
      </c>
      <c r="G30" s="58">
        <v>0</v>
      </c>
      <c r="H30" s="58">
        <v>14</v>
      </c>
      <c r="I30" s="58">
        <v>9</v>
      </c>
      <c r="J30" s="58">
        <v>14</v>
      </c>
      <c r="K30" s="58">
        <v>9</v>
      </c>
      <c r="L30" s="58">
        <v>4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 t="s">
        <v>145</v>
      </c>
    </row>
    <row r="31" spans="1:20" ht="12.75">
      <c r="A31" s="58">
        <v>14</v>
      </c>
      <c r="B31" s="58" t="s">
        <v>91</v>
      </c>
      <c r="C31" s="58">
        <v>2</v>
      </c>
      <c r="D31" s="58">
        <v>124</v>
      </c>
      <c r="E31" s="58">
        <v>66</v>
      </c>
      <c r="F31" s="58">
        <v>0</v>
      </c>
      <c r="G31" s="58">
        <v>0</v>
      </c>
      <c r="H31" s="58">
        <v>0</v>
      </c>
      <c r="I31" s="58">
        <v>9</v>
      </c>
      <c r="J31" s="58">
        <v>24</v>
      </c>
      <c r="K31" s="58">
        <v>5</v>
      </c>
      <c r="L31" s="58">
        <v>8</v>
      </c>
      <c r="M31" s="58">
        <v>12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 t="s">
        <v>146</v>
      </c>
    </row>
    <row r="32" spans="1:20" ht="12.75">
      <c r="A32" s="58">
        <v>16</v>
      </c>
      <c r="B32" s="58" t="s">
        <v>79</v>
      </c>
      <c r="C32" s="58">
        <v>2</v>
      </c>
      <c r="D32" s="58">
        <v>135</v>
      </c>
      <c r="E32" s="58">
        <v>66</v>
      </c>
      <c r="F32" s="58">
        <v>9</v>
      </c>
      <c r="G32" s="58">
        <v>15</v>
      </c>
      <c r="H32" s="58">
        <v>7</v>
      </c>
      <c r="I32" s="58">
        <v>9</v>
      </c>
      <c r="J32" s="58">
        <v>14</v>
      </c>
      <c r="K32" s="58">
        <v>0</v>
      </c>
      <c r="L32" s="58">
        <v>4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2</v>
      </c>
      <c r="S32" s="58">
        <v>9</v>
      </c>
      <c r="T32" s="58" t="s">
        <v>147</v>
      </c>
    </row>
    <row r="33" spans="1:20" ht="12.75">
      <c r="A33" s="58">
        <v>8</v>
      </c>
      <c r="B33" s="58" t="s">
        <v>118</v>
      </c>
      <c r="C33" s="58">
        <v>3</v>
      </c>
      <c r="D33" s="58">
        <v>107</v>
      </c>
      <c r="E33" s="58">
        <v>72</v>
      </c>
      <c r="F33" s="58">
        <v>9</v>
      </c>
      <c r="G33" s="58">
        <v>0</v>
      </c>
      <c r="H33" s="58">
        <v>0</v>
      </c>
      <c r="I33" s="58">
        <v>9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8</v>
      </c>
      <c r="S33" s="58">
        <v>9</v>
      </c>
      <c r="T33" s="58" t="s">
        <v>148</v>
      </c>
    </row>
    <row r="34" spans="1:20" ht="12.75">
      <c r="A34" s="58">
        <v>11</v>
      </c>
      <c r="B34" s="58" t="s">
        <v>82</v>
      </c>
      <c r="C34" s="58">
        <v>3</v>
      </c>
      <c r="D34" s="58">
        <v>144</v>
      </c>
      <c r="E34" s="58">
        <v>66</v>
      </c>
      <c r="F34" s="58">
        <v>0</v>
      </c>
      <c r="G34" s="58">
        <v>15</v>
      </c>
      <c r="H34" s="58">
        <v>0</v>
      </c>
      <c r="I34" s="58">
        <v>0</v>
      </c>
      <c r="J34" s="58">
        <v>28</v>
      </c>
      <c r="K34" s="58">
        <v>0</v>
      </c>
      <c r="L34" s="58">
        <v>4</v>
      </c>
      <c r="M34" s="58">
        <v>0</v>
      </c>
      <c r="N34" s="58">
        <v>0</v>
      </c>
      <c r="O34" s="58">
        <v>0</v>
      </c>
      <c r="P34" s="58">
        <v>0</v>
      </c>
      <c r="Q34" s="58">
        <v>14</v>
      </c>
      <c r="R34" s="58">
        <v>8</v>
      </c>
      <c r="S34" s="58">
        <v>9</v>
      </c>
      <c r="T34" s="58" t="s">
        <v>149</v>
      </c>
    </row>
    <row r="35" spans="1:20" ht="12.75">
      <c r="A35" s="58">
        <v>10</v>
      </c>
      <c r="B35" s="58" t="s">
        <v>77</v>
      </c>
      <c r="C35" s="58">
        <v>3</v>
      </c>
      <c r="D35" s="58">
        <v>81</v>
      </c>
      <c r="E35" s="58">
        <v>60</v>
      </c>
      <c r="F35" s="58">
        <v>0</v>
      </c>
      <c r="G35" s="58">
        <v>0</v>
      </c>
      <c r="H35" s="58">
        <v>0</v>
      </c>
      <c r="I35" s="58">
        <v>0</v>
      </c>
      <c r="J35" s="58">
        <v>21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 t="s">
        <v>150</v>
      </c>
    </row>
    <row r="36" spans="1:20" ht="12.75">
      <c r="A36" s="58">
        <v>4</v>
      </c>
      <c r="B36" s="58" t="s">
        <v>85</v>
      </c>
      <c r="C36" s="58">
        <v>2</v>
      </c>
      <c r="D36" s="58">
        <v>109</v>
      </c>
      <c r="E36" s="58">
        <v>66</v>
      </c>
      <c r="F36" s="58">
        <v>0</v>
      </c>
      <c r="G36" s="58">
        <v>0</v>
      </c>
      <c r="H36" s="58">
        <v>0</v>
      </c>
      <c r="I36" s="58">
        <v>9</v>
      </c>
      <c r="J36" s="58">
        <v>21</v>
      </c>
      <c r="K36" s="58">
        <v>0</v>
      </c>
      <c r="L36" s="58">
        <v>4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9</v>
      </c>
      <c r="T36" s="58" t="s">
        <v>151</v>
      </c>
    </row>
    <row r="37" spans="1:20" ht="12.75">
      <c r="A37" s="58">
        <v>2</v>
      </c>
      <c r="B37" s="58" t="s">
        <v>80</v>
      </c>
      <c r="C37" s="58">
        <v>2</v>
      </c>
      <c r="D37" s="58">
        <v>107</v>
      </c>
      <c r="E37" s="58">
        <v>72</v>
      </c>
      <c r="F37" s="58">
        <v>9</v>
      </c>
      <c r="G37" s="58">
        <v>0</v>
      </c>
      <c r="H37" s="58">
        <v>0</v>
      </c>
      <c r="I37" s="58">
        <v>6</v>
      </c>
      <c r="J37" s="58">
        <v>7</v>
      </c>
      <c r="K37" s="58">
        <v>0</v>
      </c>
      <c r="L37" s="58">
        <v>4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9</v>
      </c>
      <c r="T37" s="58" t="s">
        <v>152</v>
      </c>
    </row>
    <row r="38" spans="1:20" ht="12.75">
      <c r="A38" s="58">
        <v>1</v>
      </c>
      <c r="B38" s="58" t="s">
        <v>84</v>
      </c>
      <c r="C38" s="58">
        <v>2</v>
      </c>
      <c r="D38" s="58">
        <v>122</v>
      </c>
      <c r="E38" s="58">
        <v>60</v>
      </c>
      <c r="F38" s="58">
        <v>0</v>
      </c>
      <c r="G38" s="58">
        <v>30</v>
      </c>
      <c r="H38" s="58">
        <v>0</v>
      </c>
      <c r="I38" s="58">
        <v>0</v>
      </c>
      <c r="J38" s="58">
        <v>14</v>
      </c>
      <c r="K38" s="58">
        <v>5</v>
      </c>
      <c r="L38" s="58">
        <v>4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9</v>
      </c>
      <c r="T38" s="58" t="s">
        <v>153</v>
      </c>
    </row>
    <row r="39" spans="1:20" ht="12.75">
      <c r="A39" s="58">
        <v>3</v>
      </c>
      <c r="B39" s="58" t="s">
        <v>81</v>
      </c>
      <c r="C39" s="58">
        <v>2</v>
      </c>
      <c r="D39" s="58">
        <v>92</v>
      </c>
      <c r="E39" s="58">
        <v>66</v>
      </c>
      <c r="F39" s="58">
        <v>0</v>
      </c>
      <c r="G39" s="58">
        <v>0</v>
      </c>
      <c r="H39" s="58">
        <v>0</v>
      </c>
      <c r="I39" s="58">
        <v>6</v>
      </c>
      <c r="J39" s="58">
        <v>7</v>
      </c>
      <c r="K39" s="58">
        <v>5</v>
      </c>
      <c r="L39" s="58">
        <v>8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 t="s">
        <v>154</v>
      </c>
    </row>
    <row r="40" spans="1:20" ht="12.75">
      <c r="A40" s="58">
        <v>15</v>
      </c>
      <c r="B40" s="58" t="s">
        <v>83</v>
      </c>
      <c r="C40" s="58">
        <v>3</v>
      </c>
      <c r="D40" s="58">
        <v>96</v>
      </c>
      <c r="E40" s="58">
        <v>60</v>
      </c>
      <c r="F40" s="58">
        <v>9</v>
      </c>
      <c r="G40" s="58">
        <v>0</v>
      </c>
      <c r="H40" s="58">
        <v>0</v>
      </c>
      <c r="I40" s="58">
        <v>9</v>
      </c>
      <c r="J40" s="58">
        <v>0</v>
      </c>
      <c r="K40" s="58">
        <v>5</v>
      </c>
      <c r="L40" s="58">
        <v>4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9</v>
      </c>
      <c r="T40" s="58" t="s">
        <v>155</v>
      </c>
    </row>
    <row r="41" spans="1:20" ht="12.75">
      <c r="A41" s="58">
        <v>13</v>
      </c>
      <c r="B41" s="58" t="s">
        <v>90</v>
      </c>
      <c r="C41" s="58">
        <v>3</v>
      </c>
      <c r="D41" s="58">
        <v>130</v>
      </c>
      <c r="E41" s="58">
        <v>72</v>
      </c>
      <c r="F41" s="58">
        <v>0</v>
      </c>
      <c r="G41" s="58">
        <v>0</v>
      </c>
      <c r="H41" s="58">
        <v>14</v>
      </c>
      <c r="I41" s="58">
        <v>9</v>
      </c>
      <c r="J41" s="58">
        <v>28</v>
      </c>
      <c r="K41" s="58">
        <v>0</v>
      </c>
      <c r="L41" s="58">
        <v>4</v>
      </c>
      <c r="M41" s="58">
        <v>0</v>
      </c>
      <c r="N41" s="58">
        <v>3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 t="s">
        <v>156</v>
      </c>
    </row>
    <row r="42" spans="1:20" ht="12.75">
      <c r="A42" s="58">
        <v>16</v>
      </c>
      <c r="B42" s="58" t="s">
        <v>79</v>
      </c>
      <c r="C42" s="58">
        <v>3</v>
      </c>
      <c r="D42" s="58">
        <v>150</v>
      </c>
      <c r="E42" s="58">
        <v>72</v>
      </c>
      <c r="F42" s="58">
        <v>9</v>
      </c>
      <c r="G42" s="58">
        <v>15</v>
      </c>
      <c r="H42" s="58">
        <v>7</v>
      </c>
      <c r="I42" s="58">
        <v>6</v>
      </c>
      <c r="J42" s="58">
        <v>14</v>
      </c>
      <c r="K42" s="58">
        <v>0</v>
      </c>
      <c r="L42" s="58">
        <v>4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14</v>
      </c>
      <c r="S42" s="58">
        <v>9</v>
      </c>
      <c r="T42" s="58" t="s">
        <v>157</v>
      </c>
    </row>
    <row r="43" spans="1:20" ht="12.75">
      <c r="A43" s="58">
        <v>14</v>
      </c>
      <c r="B43" s="58" t="s">
        <v>91</v>
      </c>
      <c r="C43" s="58">
        <v>3</v>
      </c>
      <c r="D43" s="58">
        <v>119</v>
      </c>
      <c r="E43" s="58">
        <v>72</v>
      </c>
      <c r="F43" s="58">
        <v>9</v>
      </c>
      <c r="G43" s="58">
        <v>0</v>
      </c>
      <c r="H43" s="58">
        <v>0</v>
      </c>
      <c r="I43" s="58">
        <v>9</v>
      </c>
      <c r="J43" s="58">
        <v>0</v>
      </c>
      <c r="K43" s="58">
        <v>9</v>
      </c>
      <c r="L43" s="58">
        <v>8</v>
      </c>
      <c r="M43" s="58">
        <v>12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 t="s">
        <v>158</v>
      </c>
    </row>
    <row r="44" spans="1:20" ht="12.75">
      <c r="A44" s="58">
        <v>12</v>
      </c>
      <c r="B44" s="58" t="s">
        <v>89</v>
      </c>
      <c r="C44" s="58">
        <v>3</v>
      </c>
      <c r="D44" s="58">
        <v>88</v>
      </c>
      <c r="E44" s="58">
        <v>60</v>
      </c>
      <c r="F44" s="58">
        <v>0</v>
      </c>
      <c r="G44" s="58">
        <v>0</v>
      </c>
      <c r="H44" s="58">
        <v>0</v>
      </c>
      <c r="I44" s="58">
        <v>0</v>
      </c>
      <c r="J44" s="58">
        <v>14</v>
      </c>
      <c r="K44" s="58">
        <v>5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9</v>
      </c>
      <c r="T44" s="58" t="s">
        <v>159</v>
      </c>
    </row>
    <row r="45" spans="1:20" ht="12.75">
      <c r="A45" s="58">
        <v>5</v>
      </c>
      <c r="B45" s="58" t="s">
        <v>86</v>
      </c>
      <c r="C45" s="58">
        <v>3</v>
      </c>
      <c r="D45" s="58">
        <v>93</v>
      </c>
      <c r="E45" s="58">
        <v>66</v>
      </c>
      <c r="F45" s="58">
        <v>9</v>
      </c>
      <c r="G45" s="58">
        <v>0</v>
      </c>
      <c r="H45" s="58">
        <v>0</v>
      </c>
      <c r="I45" s="58">
        <v>0</v>
      </c>
      <c r="J45" s="58">
        <v>14</v>
      </c>
      <c r="K45" s="58">
        <v>0</v>
      </c>
      <c r="L45" s="58">
        <v>4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 t="s">
        <v>160</v>
      </c>
    </row>
    <row r="46" spans="1:20" ht="12.75">
      <c r="A46" s="58">
        <v>6</v>
      </c>
      <c r="B46" s="58" t="s">
        <v>76</v>
      </c>
      <c r="C46" s="58">
        <v>3</v>
      </c>
      <c r="D46" s="58">
        <v>124</v>
      </c>
      <c r="E46" s="58">
        <v>66</v>
      </c>
      <c r="F46" s="58">
        <v>0</v>
      </c>
      <c r="G46" s="58">
        <v>15</v>
      </c>
      <c r="H46" s="58">
        <v>0</v>
      </c>
      <c r="I46" s="58">
        <v>0</v>
      </c>
      <c r="J46" s="58">
        <v>21</v>
      </c>
      <c r="K46" s="58">
        <v>5</v>
      </c>
      <c r="L46" s="58">
        <v>8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9</v>
      </c>
      <c r="T46" s="58" t="s">
        <v>161</v>
      </c>
    </row>
    <row r="47" spans="1:20" ht="12.75">
      <c r="A47" s="58">
        <v>7</v>
      </c>
      <c r="B47" s="58" t="s">
        <v>87</v>
      </c>
      <c r="C47" s="58">
        <v>3</v>
      </c>
      <c r="D47" s="58">
        <v>96</v>
      </c>
      <c r="E47" s="58">
        <v>54</v>
      </c>
      <c r="F47" s="58">
        <v>9</v>
      </c>
      <c r="G47" s="58">
        <v>0</v>
      </c>
      <c r="H47" s="58">
        <v>0</v>
      </c>
      <c r="I47" s="58">
        <v>9</v>
      </c>
      <c r="J47" s="58">
        <v>24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 t="s">
        <v>162</v>
      </c>
    </row>
    <row r="48" spans="1:20" ht="12.75">
      <c r="A48" s="58">
        <v>1</v>
      </c>
      <c r="B48" s="58" t="s">
        <v>84</v>
      </c>
      <c r="C48" s="58">
        <v>3</v>
      </c>
      <c r="D48" s="58">
        <v>150</v>
      </c>
      <c r="E48" s="58">
        <v>72</v>
      </c>
      <c r="F48" s="58">
        <v>9</v>
      </c>
      <c r="G48" s="58">
        <v>30</v>
      </c>
      <c r="H48" s="58">
        <v>0</v>
      </c>
      <c r="I48" s="58">
        <v>0</v>
      </c>
      <c r="J48" s="58">
        <v>14</v>
      </c>
      <c r="K48" s="58">
        <v>0</v>
      </c>
      <c r="L48" s="58">
        <v>4</v>
      </c>
      <c r="M48" s="58">
        <v>12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9</v>
      </c>
      <c r="T48" s="58" t="s">
        <v>163</v>
      </c>
    </row>
    <row r="49" spans="1:20" ht="12.75">
      <c r="A49" s="58">
        <v>4</v>
      </c>
      <c r="B49" s="58" t="s">
        <v>85</v>
      </c>
      <c r="C49" s="58">
        <v>3</v>
      </c>
      <c r="D49" s="58">
        <v>89</v>
      </c>
      <c r="E49" s="58">
        <v>60</v>
      </c>
      <c r="F49" s="58">
        <v>9</v>
      </c>
      <c r="G49" s="58">
        <v>0</v>
      </c>
      <c r="H49" s="58">
        <v>0</v>
      </c>
      <c r="I49" s="58">
        <v>9</v>
      </c>
      <c r="J49" s="58">
        <v>7</v>
      </c>
      <c r="K49" s="58">
        <v>0</v>
      </c>
      <c r="L49" s="58">
        <v>4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 t="s">
        <v>164</v>
      </c>
    </row>
    <row r="50" spans="1:20" ht="12.75">
      <c r="A50" s="58">
        <v>2</v>
      </c>
      <c r="B50" s="58" t="s">
        <v>80</v>
      </c>
      <c r="C50" s="58">
        <v>3</v>
      </c>
      <c r="D50" s="58">
        <v>112</v>
      </c>
      <c r="E50" s="58">
        <v>72</v>
      </c>
      <c r="F50" s="58">
        <v>9</v>
      </c>
      <c r="G50" s="58">
        <v>0</v>
      </c>
      <c r="H50" s="58">
        <v>0</v>
      </c>
      <c r="I50" s="58">
        <v>6</v>
      </c>
      <c r="J50" s="58">
        <v>12</v>
      </c>
      <c r="K50" s="58">
        <v>0</v>
      </c>
      <c r="L50" s="58">
        <v>4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9</v>
      </c>
      <c r="T50" s="58" t="s">
        <v>165</v>
      </c>
    </row>
    <row r="51" spans="1:20" ht="12.75">
      <c r="A51" s="58">
        <v>3</v>
      </c>
      <c r="B51" s="58" t="s">
        <v>81</v>
      </c>
      <c r="C51" s="58">
        <v>3</v>
      </c>
      <c r="D51" s="58">
        <v>133</v>
      </c>
      <c r="E51" s="58">
        <v>72</v>
      </c>
      <c r="F51" s="58">
        <v>9</v>
      </c>
      <c r="G51" s="58">
        <v>15</v>
      </c>
      <c r="H51" s="58">
        <v>0</v>
      </c>
      <c r="I51" s="58">
        <v>6</v>
      </c>
      <c r="J51" s="58">
        <v>14</v>
      </c>
      <c r="K51" s="58">
        <v>9</v>
      </c>
      <c r="L51" s="58">
        <v>8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 t="s">
        <v>166</v>
      </c>
    </row>
    <row r="52" spans="1:20" s="87" customFormat="1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0" s="87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1:20" s="87" customFormat="1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s="87" customFormat="1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1:20" s="87" customFormat="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0" s="87" customFormat="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:20" s="87" customFormat="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1:20" s="87" customFormat="1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1:20" s="87" customFormat="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s="87" customFormat="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1:20" s="87" customFormat="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s="87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s="87" customFormat="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87" customFormat="1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1:20" s="87" customFormat="1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87" customFormat="1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87" customFormat="1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87" customFormat="1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1:20" s="87" customFormat="1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1:20" s="87" customFormat="1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1:20" s="87" customFormat="1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1:20" s="87" customFormat="1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1:20" s="87" customFormat="1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1:20" s="87" customFormat="1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1:20" s="87" customFormat="1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</sheetData>
  <autoFilter ref="A1:S99"/>
  <printOptions horizontalCentered="1" verticalCentered="1"/>
  <pageMargins left="0.25" right="0.25" top="0.25" bottom="0.25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18"/>
  <sheetViews>
    <sheetView workbookViewId="0" topLeftCell="A1">
      <selection activeCell="B14" sqref="B14"/>
    </sheetView>
  </sheetViews>
  <sheetFormatPr defaultColWidth="9.140625" defaultRowHeight="12.75"/>
  <cols>
    <col min="2" max="2" width="44.8515625" style="0" customWidth="1"/>
    <col min="5" max="5" width="14.421875" style="0" customWidth="1"/>
    <col min="6" max="7" width="14.421875" style="0" bestFit="1" customWidth="1"/>
  </cols>
  <sheetData>
    <row r="1" spans="1:7" ht="13.5" customHeight="1">
      <c r="A1" s="179" t="s">
        <v>57</v>
      </c>
      <c r="B1" s="179" t="s">
        <v>68</v>
      </c>
      <c r="C1" s="80" t="s">
        <v>58</v>
      </c>
      <c r="D1" s="179" t="s">
        <v>59</v>
      </c>
      <c r="E1" s="73" t="s">
        <v>114</v>
      </c>
      <c r="F1" s="74" t="s">
        <v>113</v>
      </c>
      <c r="G1" s="75">
        <f ca="1">NOW()</f>
        <v>40863.45483611111</v>
      </c>
    </row>
    <row r="2" spans="1:7" ht="19.5" customHeight="1">
      <c r="A2" s="180"/>
      <c r="B2" s="180"/>
      <c r="C2" s="81" t="s">
        <v>67</v>
      </c>
      <c r="D2" s="180"/>
      <c r="E2" s="76">
        <v>1</v>
      </c>
      <c r="F2" s="76">
        <v>2</v>
      </c>
      <c r="G2" s="76">
        <v>3</v>
      </c>
    </row>
    <row r="3" spans="1:7" ht="21" customHeight="1">
      <c r="A3" s="82">
        <f>TeamsData!A2</f>
        <v>1</v>
      </c>
      <c r="B3" s="79" t="str">
        <f>TeamsData!C2</f>
        <v>The Cyborgs</v>
      </c>
      <c r="C3" s="78">
        <f>IF(TeamsData!$N2=0,"",TeamsData!K2)</f>
        <v>152</v>
      </c>
      <c r="D3" s="77">
        <f>IF(TeamsData!$N2=0,"",TeamsData!L2)</f>
        <v>1</v>
      </c>
      <c r="E3" s="77">
        <f>TeamsData!AE2</f>
        <v>152</v>
      </c>
      <c r="F3" s="77">
        <f>TeamsData!AF2</f>
        <v>122</v>
      </c>
      <c r="G3" s="77">
        <f>TeamsData!AG2</f>
        <v>150</v>
      </c>
    </row>
    <row r="4" spans="1:7" ht="21" customHeight="1">
      <c r="A4" s="82">
        <f>TeamsData!A3</f>
        <v>2</v>
      </c>
      <c r="B4" s="79" t="str">
        <f>TeamsData!C3</f>
        <v>Mat Scientists</v>
      </c>
      <c r="C4" s="78">
        <f>IF(TeamsData!$N3=0,"",TeamsData!K3)</f>
        <v>112</v>
      </c>
      <c r="D4" s="77">
        <f>IF(TeamsData!$N3=0,"",TeamsData!L3)</f>
        <v>11</v>
      </c>
      <c r="E4" s="77">
        <f>TeamsData!AE3</f>
        <v>110</v>
      </c>
      <c r="F4" s="77">
        <f>TeamsData!AF3</f>
        <v>107</v>
      </c>
      <c r="G4" s="77">
        <f>TeamsData!AG3</f>
        <v>112</v>
      </c>
    </row>
    <row r="5" spans="1:7" ht="21" customHeight="1">
      <c r="A5" s="82">
        <f>TeamsData!A4</f>
        <v>3</v>
      </c>
      <c r="B5" s="79" t="str">
        <f>TeamsData!C4</f>
        <v>Robotic Ravioli</v>
      </c>
      <c r="C5" s="78">
        <f>IF(TeamsData!$N4=0,"",TeamsData!K4)</f>
        <v>133</v>
      </c>
      <c r="D5" s="77">
        <f>IF(TeamsData!$N4=0,"",TeamsData!L4)</f>
        <v>6</v>
      </c>
      <c r="E5" s="77">
        <f>TeamsData!AE4</f>
        <v>132</v>
      </c>
      <c r="F5" s="77">
        <f>TeamsData!AF4</f>
        <v>92</v>
      </c>
      <c r="G5" s="77">
        <f>TeamsData!AG4</f>
        <v>133</v>
      </c>
    </row>
    <row r="6" spans="1:7" ht="21" customHeight="1">
      <c r="A6" s="82">
        <f>TeamsData!A5</f>
        <v>4</v>
      </c>
      <c r="B6" s="79" t="str">
        <f>TeamsData!C5</f>
        <v>MINITW</v>
      </c>
      <c r="C6" s="78">
        <f>IF(TeamsData!$N5=0,"",TeamsData!K5)</f>
        <v>109</v>
      </c>
      <c r="D6" s="77">
        <f>IF(TeamsData!$N5=0,"",TeamsData!L5)</f>
        <v>13</v>
      </c>
      <c r="E6" s="77">
        <f>TeamsData!AE5</f>
        <v>99</v>
      </c>
      <c r="F6" s="77">
        <f>TeamsData!AF5</f>
        <v>109</v>
      </c>
      <c r="G6" s="77">
        <f>TeamsData!AG5</f>
        <v>89</v>
      </c>
    </row>
    <row r="7" spans="1:7" ht="21" customHeight="1">
      <c r="A7" s="82">
        <f>TeamsData!A6</f>
        <v>5</v>
      </c>
      <c r="B7" s="79" t="str">
        <f>TeamsData!C6</f>
        <v>Gears</v>
      </c>
      <c r="C7" s="78">
        <f>IF(TeamsData!$N6=0,"",TeamsData!K6)</f>
        <v>93</v>
      </c>
      <c r="D7" s="77">
        <f>IF(TeamsData!$N6=0,"",TeamsData!L6)</f>
        <v>16</v>
      </c>
      <c r="E7" s="77">
        <f>TeamsData!AE6</f>
        <v>64</v>
      </c>
      <c r="F7" s="77">
        <f>TeamsData!AF6</f>
        <v>63</v>
      </c>
      <c r="G7" s="77">
        <f>TeamsData!AG6</f>
        <v>93</v>
      </c>
    </row>
    <row r="8" spans="1:7" ht="21" customHeight="1">
      <c r="A8" s="82">
        <f>TeamsData!A7</f>
        <v>6</v>
      </c>
      <c r="B8" s="79" t="str">
        <f>TeamsData!C7</f>
        <v>40 Loyola SAPlings</v>
      </c>
      <c r="C8" s="78">
        <f>IF(TeamsData!$N7=0,"",TeamsData!K7)</f>
        <v>124</v>
      </c>
      <c r="D8" s="77">
        <f>IF(TeamsData!$N7=0,"",TeamsData!L7)</f>
        <v>8</v>
      </c>
      <c r="E8" s="77">
        <f>TeamsData!AE7</f>
        <v>103</v>
      </c>
      <c r="F8" s="77">
        <f>TeamsData!AF7</f>
        <v>87</v>
      </c>
      <c r="G8" s="77">
        <f>TeamsData!AG7</f>
        <v>124</v>
      </c>
    </row>
    <row r="9" spans="1:7" ht="21" customHeight="1">
      <c r="A9" s="82">
        <f>TeamsData!A8</f>
        <v>7</v>
      </c>
      <c r="B9" s="79" t="str">
        <f>TeamsData!C8</f>
        <v>SAP0wer4</v>
      </c>
      <c r="C9" s="78">
        <f>IF(TeamsData!$N8=0,"",TeamsData!K8)</f>
        <v>135</v>
      </c>
      <c r="D9" s="77">
        <f>IF(TeamsData!$N8=0,"",TeamsData!L8)</f>
        <v>4</v>
      </c>
      <c r="E9" s="77">
        <f>TeamsData!AE8</f>
        <v>82</v>
      </c>
      <c r="F9" s="77">
        <f>TeamsData!AF8</f>
        <v>135</v>
      </c>
      <c r="G9" s="77">
        <f>TeamsData!AG8</f>
        <v>96</v>
      </c>
    </row>
    <row r="10" spans="1:7" ht="21" customHeight="1">
      <c r="A10" s="82">
        <f>TeamsData!A9</f>
        <v>8</v>
      </c>
      <c r="B10" s="79" t="str">
        <f>TeamsData!C9</f>
        <v>Adroits</v>
      </c>
      <c r="C10" s="78">
        <f>IF(TeamsData!$N9=0,"",TeamsData!K9)</f>
        <v>107</v>
      </c>
      <c r="D10" s="77">
        <f>IF(TeamsData!$N9=0,"",TeamsData!L9)</f>
        <v>14</v>
      </c>
      <c r="E10" s="77">
        <f>TeamsData!AE9</f>
        <v>93</v>
      </c>
      <c r="F10" s="77">
        <f>TeamsData!AF9</f>
        <v>87</v>
      </c>
      <c r="G10" s="77">
        <f>TeamsData!AG9</f>
        <v>107</v>
      </c>
    </row>
    <row r="11" spans="1:7" ht="21" customHeight="1">
      <c r="A11" s="82">
        <f>TeamsData!A10</f>
        <v>9</v>
      </c>
      <c r="B11" s="79" t="str">
        <f>TeamsData!C10</f>
        <v>Kung Food</v>
      </c>
      <c r="C11" s="78">
        <f>IF(TeamsData!$N10=0,"",TeamsData!K10)</f>
        <v>122</v>
      </c>
      <c r="D11" s="77">
        <f>IF(TeamsData!$N10=0,"",TeamsData!L10)</f>
        <v>9</v>
      </c>
      <c r="E11" s="77">
        <f>TeamsData!AE10</f>
        <v>98</v>
      </c>
      <c r="F11" s="77">
        <f>TeamsData!AF10</f>
        <v>114</v>
      </c>
      <c r="G11" s="77">
        <f>TeamsData!AG10</f>
        <v>122</v>
      </c>
    </row>
    <row r="12" spans="1:7" ht="21" customHeight="1">
      <c r="A12" s="82">
        <f>TeamsData!A11</f>
        <v>10</v>
      </c>
      <c r="B12" s="79" t="str">
        <f>TeamsData!C11</f>
        <v>Fantastic Lego Legion</v>
      </c>
      <c r="C12" s="78">
        <f>IF(TeamsData!$N11=0,"",TeamsData!K11)</f>
        <v>112</v>
      </c>
      <c r="D12" s="77">
        <f>IF(TeamsData!$N11=0,"",TeamsData!L11)</f>
        <v>12</v>
      </c>
      <c r="E12" s="77">
        <f>TeamsData!AE11</f>
        <v>110</v>
      </c>
      <c r="F12" s="77">
        <f>TeamsData!AF11</f>
        <v>112</v>
      </c>
      <c r="G12" s="77">
        <f>TeamsData!AG11</f>
        <v>81</v>
      </c>
    </row>
    <row r="13" spans="1:7" ht="21" customHeight="1">
      <c r="A13" s="82">
        <f>TeamsData!A12</f>
        <v>11</v>
      </c>
      <c r="B13" s="79" t="str">
        <f>TeamsData!C12</f>
        <v>The Other Team Again</v>
      </c>
      <c r="C13" s="78">
        <f>IF(TeamsData!$N12=0,"",TeamsData!K12)</f>
        <v>144</v>
      </c>
      <c r="D13" s="77">
        <f>IF(TeamsData!$N12=0,"",TeamsData!L12)</f>
        <v>3</v>
      </c>
      <c r="E13" s="77">
        <f>TeamsData!AE12</f>
        <v>131</v>
      </c>
      <c r="F13" s="77">
        <f>TeamsData!AF12</f>
        <v>124</v>
      </c>
      <c r="G13" s="77">
        <f>TeamsData!AG12</f>
        <v>144</v>
      </c>
    </row>
    <row r="14" spans="1:7" ht="21" customHeight="1">
      <c r="A14" s="82">
        <f>TeamsData!A13</f>
        <v>12</v>
      </c>
      <c r="B14" s="79" t="str">
        <f>TeamsData!C13</f>
        <v>Alien Calamari</v>
      </c>
      <c r="C14" s="78">
        <f>IF(TeamsData!$N13=0,"",TeamsData!K13)</f>
        <v>103</v>
      </c>
      <c r="D14" s="77">
        <f>IF(TeamsData!$N13=0,"",TeamsData!L13)</f>
        <v>15</v>
      </c>
      <c r="E14" s="77">
        <f>TeamsData!AE13</f>
        <v>92</v>
      </c>
      <c r="F14" s="77">
        <f>TeamsData!AF13</f>
        <v>103</v>
      </c>
      <c r="G14" s="77">
        <f>TeamsData!AG13</f>
        <v>88</v>
      </c>
    </row>
    <row r="15" spans="1:7" ht="21" customHeight="1">
      <c r="A15" s="82">
        <f>TeamsData!A14</f>
        <v>13</v>
      </c>
      <c r="B15" s="79" t="str">
        <f>TeamsData!C14</f>
        <v>Pieceful Programmers</v>
      </c>
      <c r="C15" s="78">
        <f>IF(TeamsData!$N14=0,"",TeamsData!K14)</f>
        <v>134</v>
      </c>
      <c r="D15" s="77">
        <f>IF(TeamsData!$N14=0,"",TeamsData!L14)</f>
        <v>5</v>
      </c>
      <c r="E15" s="77">
        <f>TeamsData!AE14</f>
        <v>115</v>
      </c>
      <c r="F15" s="77">
        <f>TeamsData!AF14</f>
        <v>134</v>
      </c>
      <c r="G15" s="77">
        <f>TeamsData!AG14</f>
        <v>130</v>
      </c>
    </row>
    <row r="16" spans="1:7" ht="21" customHeight="1">
      <c r="A16" s="82">
        <f>TeamsData!A15</f>
        <v>14</v>
      </c>
      <c r="B16" s="79" t="str">
        <f>TeamsData!C15</f>
        <v>Extreme Kennedy</v>
      </c>
      <c r="C16" s="78">
        <f>IF(TeamsData!$N15=0,"",TeamsData!K15)</f>
        <v>133</v>
      </c>
      <c r="D16" s="77">
        <f>IF(TeamsData!$N15=0,"",TeamsData!L15)</f>
        <v>7</v>
      </c>
      <c r="E16" s="77">
        <f>TeamsData!AE15</f>
        <v>133</v>
      </c>
      <c r="F16" s="77">
        <f>TeamsData!AF15</f>
        <v>124</v>
      </c>
      <c r="G16" s="77">
        <f>TeamsData!AG15</f>
        <v>119</v>
      </c>
    </row>
    <row r="17" spans="1:7" ht="21" customHeight="1">
      <c r="A17" s="82">
        <f>TeamsData!A16</f>
        <v>15</v>
      </c>
      <c r="B17" s="79" t="str">
        <f>TeamsData!C16</f>
        <v>Hazardous Waste</v>
      </c>
      <c r="C17" s="78">
        <f>IF(TeamsData!$N16=0,"",TeamsData!K16)</f>
        <v>113</v>
      </c>
      <c r="D17" s="77">
        <f>IF(TeamsData!$N16=0,"",TeamsData!L16)</f>
        <v>10</v>
      </c>
      <c r="E17" s="77">
        <f>TeamsData!AE16</f>
        <v>80</v>
      </c>
      <c r="F17" s="77">
        <f>TeamsData!AF16</f>
        <v>113</v>
      </c>
      <c r="G17" s="77">
        <f>TeamsData!AG16</f>
        <v>96</v>
      </c>
    </row>
    <row r="18" spans="1:7" ht="21" customHeight="1">
      <c r="A18" s="82">
        <f>TeamsData!A17</f>
        <v>16</v>
      </c>
      <c r="B18" s="79" t="str">
        <f>TeamsData!C17</f>
        <v>Lightning Bots</v>
      </c>
      <c r="C18" s="78">
        <f>IF(TeamsData!$N17=0,"",TeamsData!K17)</f>
        <v>150</v>
      </c>
      <c r="D18" s="77">
        <f>IF(TeamsData!$N17=0,"",TeamsData!L17)</f>
        <v>2</v>
      </c>
      <c r="E18" s="77">
        <f>TeamsData!AE17</f>
        <v>90</v>
      </c>
      <c r="F18" s="77">
        <f>TeamsData!AF17</f>
        <v>135</v>
      </c>
      <c r="G18" s="77">
        <f>TeamsData!AG17</f>
        <v>150</v>
      </c>
    </row>
  </sheetData>
  <sheetProtection sheet="1" objects="1" scenarios="1"/>
  <mergeCells count="3">
    <mergeCell ref="A1:A2"/>
    <mergeCell ref="D1:D2"/>
    <mergeCell ref="B1:B2"/>
  </mergeCells>
  <conditionalFormatting sqref="E3:G18">
    <cfRule type="cellIs" priority="1" dxfId="3" operator="greaterThan" stopIfTrue="1">
      <formula>500</formula>
    </cfRule>
  </conditionalFormatting>
  <printOptions/>
  <pageMargins left="0.75" right="0.75" top="1" bottom="1" header="0.5" footer="0.5"/>
  <pageSetup fitToHeight="1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38"/>
  <sheetViews>
    <sheetView zoomScaleSheetLayoutView="100" workbookViewId="0" topLeftCell="A1">
      <selection activeCell="D19" sqref="D19"/>
    </sheetView>
  </sheetViews>
  <sheetFormatPr defaultColWidth="9.140625" defaultRowHeight="12.75"/>
  <cols>
    <col min="1" max="2" width="8.28125" style="0" customWidth="1"/>
    <col min="3" max="3" width="9.7109375" style="0" customWidth="1"/>
    <col min="4" max="4" width="7.00390625" style="0" customWidth="1"/>
    <col min="5" max="5" width="5.7109375" style="120" customWidth="1"/>
    <col min="6" max="6" width="20.140625" style="0" customWidth="1"/>
    <col min="7" max="7" width="6.8515625" style="0" customWidth="1"/>
    <col min="8" max="8" width="7.00390625" style="121" customWidth="1"/>
    <col min="9" max="9" width="6.00390625" style="121" customWidth="1"/>
    <col min="10" max="10" width="20.28125" style="0" customWidth="1"/>
    <col min="11" max="11" width="6.57421875" style="121" customWidth="1"/>
    <col min="12" max="12" width="26.8515625" style="121" customWidth="1"/>
    <col min="13" max="14" width="6.140625" style="0" bestFit="1" customWidth="1"/>
    <col min="15" max="16" width="5.28125" style="0" bestFit="1" customWidth="1"/>
  </cols>
  <sheetData>
    <row r="1" spans="1:18" ht="12.75">
      <c r="A1" s="88" t="s">
        <v>66</v>
      </c>
      <c r="B1" s="83" t="s">
        <v>92</v>
      </c>
      <c r="C1" s="83" t="s">
        <v>93</v>
      </c>
      <c r="D1" s="83" t="s">
        <v>71</v>
      </c>
      <c r="E1" s="89" t="s">
        <v>94</v>
      </c>
      <c r="F1" s="83" t="s">
        <v>95</v>
      </c>
      <c r="G1" s="83"/>
      <c r="H1" s="83" t="s">
        <v>71</v>
      </c>
      <c r="I1" s="89" t="s">
        <v>94</v>
      </c>
      <c r="J1" s="83" t="s">
        <v>95</v>
      </c>
      <c r="K1" s="83"/>
      <c r="L1" s="67"/>
      <c r="M1" s="5"/>
      <c r="N1" s="5"/>
      <c r="O1" s="5"/>
      <c r="P1" s="5"/>
      <c r="Q1" s="5"/>
      <c r="R1" s="5"/>
    </row>
    <row r="2" spans="1:18" ht="12.75">
      <c r="A2" s="90" t="s">
        <v>96</v>
      </c>
      <c r="B2" s="91" t="s">
        <v>97</v>
      </c>
      <c r="C2" s="92">
        <v>0.5208333333333334</v>
      </c>
      <c r="D2" s="92" t="s">
        <v>72</v>
      </c>
      <c r="E2" s="93">
        <v>1</v>
      </c>
      <c r="F2" s="94" t="str">
        <f>LOOKUP(E2,Teams!$A$2:$B$25)</f>
        <v>The Cyborgs</v>
      </c>
      <c r="G2" s="88"/>
      <c r="H2" s="95" t="s">
        <v>73</v>
      </c>
      <c r="I2" s="91">
        <v>2</v>
      </c>
      <c r="J2" s="94" t="str">
        <f>LOOKUP(I2,Teams!$A$2:$B$25)</f>
        <v>Mat Scientists</v>
      </c>
      <c r="K2" s="88"/>
      <c r="L2" s="67"/>
      <c r="M2" s="5"/>
      <c r="N2" s="5"/>
      <c r="O2" s="5"/>
      <c r="P2" s="5"/>
      <c r="Q2" s="5"/>
      <c r="R2" s="5"/>
    </row>
    <row r="3" spans="1:18" ht="12.75">
      <c r="A3" s="96"/>
      <c r="B3" s="91" t="s">
        <v>97</v>
      </c>
      <c r="C3" s="92">
        <v>0.5208333333333334</v>
      </c>
      <c r="D3" s="97" t="s">
        <v>74</v>
      </c>
      <c r="E3" s="93">
        <v>3</v>
      </c>
      <c r="F3" s="94" t="str">
        <f>LOOKUP(E3,Teams!$A$2:$B$25)</f>
        <v>Robotic Ravioli</v>
      </c>
      <c r="G3" s="88"/>
      <c r="H3" s="95" t="s">
        <v>75</v>
      </c>
      <c r="I3" s="91">
        <v>4</v>
      </c>
      <c r="J3" s="94" t="str">
        <f>LOOKUP(I3,Teams!$A$2:$B$25)</f>
        <v>MINITW</v>
      </c>
      <c r="K3" s="88"/>
      <c r="L3" s="67"/>
      <c r="M3" s="5"/>
      <c r="N3" s="5"/>
      <c r="O3" s="5"/>
      <c r="P3" s="5"/>
      <c r="Q3" s="5"/>
      <c r="R3" s="5"/>
    </row>
    <row r="4" spans="1:18" ht="12.75">
      <c r="A4" s="96"/>
      <c r="B4" s="91" t="s">
        <v>98</v>
      </c>
      <c r="C4" s="92">
        <v>0.5243055555555556</v>
      </c>
      <c r="D4" s="97" t="s">
        <v>72</v>
      </c>
      <c r="E4" s="93">
        <v>5</v>
      </c>
      <c r="F4" s="94" t="str">
        <f>LOOKUP(E4,Teams!$A$2:$B$25)</f>
        <v>Gears</v>
      </c>
      <c r="G4" s="88"/>
      <c r="H4" s="95" t="s">
        <v>73</v>
      </c>
      <c r="I4" s="91">
        <v>6</v>
      </c>
      <c r="J4" s="94" t="str">
        <f>LOOKUP(I4,Teams!$A$2:$B$25)</f>
        <v>40 Loyola SAPlings</v>
      </c>
      <c r="K4" s="88"/>
      <c r="L4" s="67"/>
      <c r="M4" s="5"/>
      <c r="N4" s="5"/>
      <c r="O4" s="5"/>
      <c r="P4" s="5"/>
      <c r="Q4" s="5"/>
      <c r="R4" s="5"/>
    </row>
    <row r="5" spans="1:18" ht="12.75">
      <c r="A5" s="96"/>
      <c r="B5" s="91" t="s">
        <v>98</v>
      </c>
      <c r="C5" s="92">
        <v>0.5243055555555556</v>
      </c>
      <c r="D5" s="97" t="s">
        <v>74</v>
      </c>
      <c r="E5" s="93">
        <v>7</v>
      </c>
      <c r="F5" s="94" t="str">
        <f>LOOKUP(E5,Teams!$A$2:$B$25)</f>
        <v>SAP0wer4</v>
      </c>
      <c r="G5" s="88"/>
      <c r="H5" s="95" t="s">
        <v>75</v>
      </c>
      <c r="I5" s="91">
        <v>8</v>
      </c>
      <c r="J5" s="94" t="str">
        <f>LOOKUP(I5,Teams!$A$2:$B$25)</f>
        <v>Adroits</v>
      </c>
      <c r="K5" s="88"/>
      <c r="L5" s="67"/>
      <c r="M5" s="5"/>
      <c r="N5" s="5"/>
      <c r="O5" s="5"/>
      <c r="P5" s="5"/>
      <c r="Q5" s="5"/>
      <c r="R5" s="5"/>
    </row>
    <row r="6" spans="1:18" ht="12.75">
      <c r="A6" s="96"/>
      <c r="B6" s="91" t="s">
        <v>99</v>
      </c>
      <c r="C6" s="92">
        <v>0.53125</v>
      </c>
      <c r="D6" s="92" t="s">
        <v>72</v>
      </c>
      <c r="E6" s="93">
        <v>9</v>
      </c>
      <c r="F6" s="94" t="str">
        <f>LOOKUP(E6,Teams!$A$2:$B$25)</f>
        <v>Kung Food</v>
      </c>
      <c r="G6" s="88"/>
      <c r="H6" s="95" t="s">
        <v>73</v>
      </c>
      <c r="I6" s="91">
        <v>10</v>
      </c>
      <c r="J6" s="94" t="str">
        <f>LOOKUP(I6,Teams!$A$2:$B$25)</f>
        <v>Fantastic Lego Legion</v>
      </c>
      <c r="K6" s="88"/>
      <c r="L6" s="67"/>
      <c r="M6" s="5"/>
      <c r="N6" s="5"/>
      <c r="O6" s="5"/>
      <c r="P6" s="5"/>
      <c r="Q6" s="5"/>
      <c r="R6" s="5"/>
    </row>
    <row r="7" spans="1:18" ht="12.75">
      <c r="A7" s="96"/>
      <c r="B7" s="91" t="s">
        <v>99</v>
      </c>
      <c r="C7" s="92">
        <v>0.53125</v>
      </c>
      <c r="D7" s="97" t="s">
        <v>74</v>
      </c>
      <c r="E7" s="93">
        <v>11</v>
      </c>
      <c r="F7" s="94" t="str">
        <f>LOOKUP(E7,Teams!$A$2:$B$25)</f>
        <v>The Other Team Again</v>
      </c>
      <c r="G7" s="88"/>
      <c r="H7" s="95" t="s">
        <v>75</v>
      </c>
      <c r="I7" s="91">
        <v>12</v>
      </c>
      <c r="J7" s="94" t="str">
        <f>LOOKUP(I7,Teams!$A$2:$B$25)</f>
        <v>Alien Calamari</v>
      </c>
      <c r="K7" s="88"/>
      <c r="L7" s="67"/>
      <c r="M7" s="5"/>
      <c r="N7" s="5"/>
      <c r="O7" s="5"/>
      <c r="P7" s="5"/>
      <c r="Q7" s="5"/>
      <c r="R7" s="5"/>
    </row>
    <row r="8" spans="1:18" ht="12.75">
      <c r="A8" s="96"/>
      <c r="B8" s="91" t="s">
        <v>100</v>
      </c>
      <c r="C8" s="92">
        <v>0.5347222222222222</v>
      </c>
      <c r="D8" s="92" t="s">
        <v>72</v>
      </c>
      <c r="E8" s="93">
        <v>13</v>
      </c>
      <c r="F8" s="94" t="str">
        <f>LOOKUP(E8,Teams!$A$2:$B$25)</f>
        <v>Pieceful Programmers</v>
      </c>
      <c r="G8" s="88"/>
      <c r="H8" s="95" t="s">
        <v>73</v>
      </c>
      <c r="I8" s="91">
        <v>14</v>
      </c>
      <c r="J8" s="94" t="str">
        <f>LOOKUP(I8,Teams!$A$2:$B$25)</f>
        <v>Extreme Kennedy</v>
      </c>
      <c r="K8" s="88"/>
      <c r="L8" s="67"/>
      <c r="M8" s="5"/>
      <c r="N8" s="5"/>
      <c r="O8" s="5"/>
      <c r="P8" s="5"/>
      <c r="Q8" s="5"/>
      <c r="R8" s="5"/>
    </row>
    <row r="9" spans="1:18" ht="12.75">
      <c r="A9" s="98"/>
      <c r="B9" s="91" t="s">
        <v>100</v>
      </c>
      <c r="C9" s="92">
        <v>0.5347222222222222</v>
      </c>
      <c r="D9" s="97" t="s">
        <v>74</v>
      </c>
      <c r="E9" s="93">
        <v>15</v>
      </c>
      <c r="F9" s="94" t="str">
        <f>LOOKUP(E9,Teams!$A$2:$B$25)</f>
        <v>Hazardous Waste</v>
      </c>
      <c r="G9" s="88"/>
      <c r="H9" s="95" t="s">
        <v>75</v>
      </c>
      <c r="I9" s="91">
        <v>16</v>
      </c>
      <c r="J9" s="94" t="str">
        <f>LOOKUP(I9,Teams!$A$2:$B$25)</f>
        <v>Lightning Bots</v>
      </c>
      <c r="K9" s="88"/>
      <c r="L9" s="67"/>
      <c r="M9" s="5"/>
      <c r="N9" s="5"/>
      <c r="O9" s="5"/>
      <c r="P9" s="5"/>
      <c r="Q9" s="5"/>
      <c r="R9" s="5"/>
    </row>
    <row r="10" spans="1:19" ht="15" customHeight="1">
      <c r="A10" s="88" t="s">
        <v>66</v>
      </c>
      <c r="B10" s="88" t="s">
        <v>92</v>
      </c>
      <c r="C10" s="88" t="s">
        <v>93</v>
      </c>
      <c r="D10" s="88" t="s">
        <v>71</v>
      </c>
      <c r="E10" s="89" t="s">
        <v>94</v>
      </c>
      <c r="F10" s="88" t="s">
        <v>95</v>
      </c>
      <c r="G10" s="88"/>
      <c r="H10" s="88" t="s">
        <v>71</v>
      </c>
      <c r="I10" s="89" t="s">
        <v>94</v>
      </c>
      <c r="J10" s="88" t="s">
        <v>95</v>
      </c>
      <c r="K10" s="88"/>
      <c r="L10" s="99"/>
      <c r="M10" s="5" t="s">
        <v>101</v>
      </c>
      <c r="N10" s="5" t="s">
        <v>102</v>
      </c>
      <c r="O10" s="5" t="s">
        <v>101</v>
      </c>
      <c r="P10" s="5" t="s">
        <v>102</v>
      </c>
      <c r="Q10" s="5" t="s">
        <v>103</v>
      </c>
      <c r="R10" s="5" t="s">
        <v>104</v>
      </c>
      <c r="S10" t="s">
        <v>66</v>
      </c>
    </row>
    <row r="11" spans="1:19" ht="15" customHeight="1">
      <c r="A11" s="100" t="s">
        <v>105</v>
      </c>
      <c r="B11" s="101">
        <v>1</v>
      </c>
      <c r="C11" s="102">
        <v>0.5625</v>
      </c>
      <c r="D11" s="102" t="s">
        <v>72</v>
      </c>
      <c r="E11" s="103">
        <v>5</v>
      </c>
      <c r="F11" s="94" t="str">
        <f>LOOKUP(E11,Teams!$A$2:$B$25)</f>
        <v>Gears</v>
      </c>
      <c r="G11" s="104">
        <f aca="true" t="shared" si="0" ref="G11:G36">IF(ISNUMBER(Q11),Q11,"")</f>
        <v>64</v>
      </c>
      <c r="H11" s="95" t="s">
        <v>73</v>
      </c>
      <c r="I11" s="95">
        <v>6</v>
      </c>
      <c r="J11" s="94" t="str">
        <f>LOOKUP(I11,Teams!$A$2:$B$25)</f>
        <v>40 Loyola SAPlings</v>
      </c>
      <c r="K11" s="104">
        <f aca="true" t="shared" si="1" ref="K11:K36">IF(ISNUMBER(R11),R11,"")</f>
        <v>103</v>
      </c>
      <c r="L11" s="105"/>
      <c r="M11" s="5">
        <f>COUNTIF(E$11:E11,E11)+COUNTIF(I$11:I11,E11)</f>
        <v>1</v>
      </c>
      <c r="N11" s="5">
        <f>COUNTIF(E$11:E11,I11)+COUNTIF(I$11:I11,I11)</f>
        <v>1</v>
      </c>
      <c r="O11" s="5" t="str">
        <f aca="true" t="shared" si="2" ref="O11:O20">E11&amp;"R"&amp;M11</f>
        <v>5R1</v>
      </c>
      <c r="P11" s="5" t="str">
        <f aca="true" t="shared" si="3" ref="P11:P20">I11&amp;"R"&amp;N11</f>
        <v>6R1</v>
      </c>
      <c r="Q11" s="5">
        <f ca="1">OFFSET(TeamsData!Q$2,E11-1,M11-1)</f>
        <v>64</v>
      </c>
      <c r="R11" s="5">
        <f ca="1">OFFSET(TeamsData!Q$2,I11-1,N11-1)</f>
        <v>103</v>
      </c>
      <c r="S11" s="123" t="str">
        <f>A11</f>
        <v>A</v>
      </c>
    </row>
    <row r="12" spans="1:19" ht="15" customHeight="1">
      <c r="A12" s="106"/>
      <c r="B12" s="101">
        <v>2</v>
      </c>
      <c r="C12" s="107">
        <v>0.5659722222222222</v>
      </c>
      <c r="D12" s="107" t="s">
        <v>74</v>
      </c>
      <c r="E12" s="103">
        <v>7</v>
      </c>
      <c r="F12" s="94" t="str">
        <f>LOOKUP(E12,Teams!$A$2:$B$25)</f>
        <v>SAP0wer4</v>
      </c>
      <c r="G12" s="104">
        <f t="shared" si="0"/>
        <v>82</v>
      </c>
      <c r="H12" s="95" t="s">
        <v>75</v>
      </c>
      <c r="I12" s="95">
        <v>8</v>
      </c>
      <c r="J12" s="94" t="str">
        <f>LOOKUP(I12,Teams!$A$2:$B$25)</f>
        <v>Adroits</v>
      </c>
      <c r="K12" s="104">
        <f t="shared" si="1"/>
        <v>93</v>
      </c>
      <c r="L12" s="105"/>
      <c r="M12" s="5">
        <f>COUNTIF(E$11:E12,E12)+COUNTIF(I$11:I12,E12)</f>
        <v>1</v>
      </c>
      <c r="N12" s="5">
        <f>COUNTIF(E$11:E12,I12)+COUNTIF(I$11:I12,I12)</f>
        <v>1</v>
      </c>
      <c r="O12" s="5" t="str">
        <f t="shared" si="2"/>
        <v>7R1</v>
      </c>
      <c r="P12" s="5" t="str">
        <f t="shared" si="3"/>
        <v>8R1</v>
      </c>
      <c r="Q12" s="5">
        <f ca="1">OFFSET(TeamsData!Q$2,E12-1,M12-1)</f>
        <v>82</v>
      </c>
      <c r="R12" s="5">
        <f ca="1">OFFSET(TeamsData!Q$2,I12-1,N12-1)</f>
        <v>93</v>
      </c>
      <c r="S12" t="str">
        <f aca="true" t="shared" si="4" ref="S12:S20">S11</f>
        <v>A</v>
      </c>
    </row>
    <row r="13" spans="1:19" ht="15" customHeight="1">
      <c r="A13" s="106"/>
      <c r="B13" s="101">
        <v>3</v>
      </c>
      <c r="C13" s="107">
        <v>0.5694444444444444</v>
      </c>
      <c r="D13" s="107" t="s">
        <v>72</v>
      </c>
      <c r="E13" s="103">
        <v>9</v>
      </c>
      <c r="F13" s="94" t="str">
        <f>LOOKUP(E13,Teams!$A$2:$B$25)</f>
        <v>Kung Food</v>
      </c>
      <c r="G13" s="104">
        <f t="shared" si="0"/>
        <v>98</v>
      </c>
      <c r="H13" s="95" t="s">
        <v>73</v>
      </c>
      <c r="I13" s="95">
        <v>10</v>
      </c>
      <c r="J13" s="94" t="str">
        <f>LOOKUP(I13,Teams!$A$2:$B$25)</f>
        <v>Fantastic Lego Legion</v>
      </c>
      <c r="K13" s="104">
        <f t="shared" si="1"/>
        <v>110</v>
      </c>
      <c r="L13" s="105"/>
      <c r="M13" s="5">
        <f>COUNTIF(E$11:E13,E13)+COUNTIF(I$11:I13,E13)</f>
        <v>1</v>
      </c>
      <c r="N13" s="5">
        <f>COUNTIF(E$11:E13,I13)+COUNTIF(I$11:I13,I13)</f>
        <v>1</v>
      </c>
      <c r="O13" s="5" t="str">
        <f t="shared" si="2"/>
        <v>9R1</v>
      </c>
      <c r="P13" s="5" t="str">
        <f t="shared" si="3"/>
        <v>10R1</v>
      </c>
      <c r="Q13" s="5">
        <f ca="1">OFFSET(TeamsData!Q$2,E13-1,M13-1)</f>
        <v>98</v>
      </c>
      <c r="R13" s="5">
        <f ca="1">OFFSET(TeamsData!Q$2,I13-1,N13-1)</f>
        <v>110</v>
      </c>
      <c r="S13" t="str">
        <f t="shared" si="4"/>
        <v>A</v>
      </c>
    </row>
    <row r="14" spans="1:19" ht="15" customHeight="1">
      <c r="A14" s="106"/>
      <c r="B14" s="101">
        <v>4</v>
      </c>
      <c r="C14" s="107">
        <v>0.5729166666666666</v>
      </c>
      <c r="D14" s="107" t="s">
        <v>74</v>
      </c>
      <c r="E14" s="103">
        <v>11</v>
      </c>
      <c r="F14" s="94" t="str">
        <f>LOOKUP(E14,Teams!$A$2:$B$25)</f>
        <v>The Other Team Again</v>
      </c>
      <c r="G14" s="104">
        <f t="shared" si="0"/>
        <v>131</v>
      </c>
      <c r="H14" s="95" t="s">
        <v>75</v>
      </c>
      <c r="I14" s="95">
        <v>12</v>
      </c>
      <c r="J14" s="94" t="str">
        <f>LOOKUP(I14,Teams!$A$2:$B$25)</f>
        <v>Alien Calamari</v>
      </c>
      <c r="K14" s="104">
        <f t="shared" si="1"/>
        <v>92</v>
      </c>
      <c r="L14" s="105"/>
      <c r="M14" s="5">
        <f>COUNTIF(E$11:E14,E14)+COUNTIF(I$11:I14,E14)</f>
        <v>1</v>
      </c>
      <c r="N14" s="5">
        <f>COUNTIF(E$11:E14,I14)+COUNTIF(I$11:I14,I14)</f>
        <v>1</v>
      </c>
      <c r="O14" s="5" t="str">
        <f t="shared" si="2"/>
        <v>11R1</v>
      </c>
      <c r="P14" s="5" t="str">
        <f t="shared" si="3"/>
        <v>12R1</v>
      </c>
      <c r="Q14" s="5">
        <f ca="1">OFFSET(TeamsData!Q$2,E14-1,M14-1)</f>
        <v>131</v>
      </c>
      <c r="R14" s="5">
        <f ca="1">OFFSET(TeamsData!Q$2,I14-1,N14-1)</f>
        <v>92</v>
      </c>
      <c r="S14" t="str">
        <f t="shared" si="4"/>
        <v>A</v>
      </c>
    </row>
    <row r="15" spans="1:19" ht="15" customHeight="1">
      <c r="A15" s="106"/>
      <c r="B15" s="101">
        <v>5</v>
      </c>
      <c r="C15" s="107">
        <v>0.5763888888888888</v>
      </c>
      <c r="D15" s="107" t="s">
        <v>72</v>
      </c>
      <c r="E15" s="103">
        <v>13</v>
      </c>
      <c r="F15" s="94" t="str">
        <f>LOOKUP(E15,Teams!$A$2:$B$25)</f>
        <v>Pieceful Programmers</v>
      </c>
      <c r="G15" s="104">
        <f t="shared" si="0"/>
        <v>115</v>
      </c>
      <c r="H15" s="95" t="s">
        <v>73</v>
      </c>
      <c r="I15" s="95">
        <v>14</v>
      </c>
      <c r="J15" s="94" t="str">
        <f>LOOKUP(I15,Teams!$A$2:$B$25)</f>
        <v>Extreme Kennedy</v>
      </c>
      <c r="K15" s="104">
        <f t="shared" si="1"/>
        <v>133</v>
      </c>
      <c r="L15" s="105"/>
      <c r="M15" s="5">
        <f>COUNTIF(E$11:E15,E15)+COUNTIF(I$11:I15,E15)</f>
        <v>1</v>
      </c>
      <c r="N15" s="5">
        <f>COUNTIF(E$11:E15,I15)+COUNTIF(I$11:I15,I15)</f>
        <v>1</v>
      </c>
      <c r="O15" s="5" t="str">
        <f t="shared" si="2"/>
        <v>13R1</v>
      </c>
      <c r="P15" s="5" t="str">
        <f t="shared" si="3"/>
        <v>14R1</v>
      </c>
      <c r="Q15" s="5">
        <f ca="1">OFFSET(TeamsData!Q$2,E15-1,M15-1)</f>
        <v>115</v>
      </c>
      <c r="R15" s="5">
        <f ca="1">OFFSET(TeamsData!Q$2,I15-1,N15-1)</f>
        <v>133</v>
      </c>
      <c r="S15" t="str">
        <f t="shared" si="4"/>
        <v>A</v>
      </c>
    </row>
    <row r="16" spans="1:19" ht="15" customHeight="1">
      <c r="A16" s="106"/>
      <c r="B16" s="101">
        <v>6</v>
      </c>
      <c r="C16" s="107">
        <v>0.579861111111111</v>
      </c>
      <c r="D16" s="107" t="s">
        <v>74</v>
      </c>
      <c r="E16" s="103">
        <v>15</v>
      </c>
      <c r="F16" s="94" t="str">
        <f>LOOKUP(E16,Teams!$A$2:$B$25)</f>
        <v>Hazardous Waste</v>
      </c>
      <c r="G16" s="104">
        <f t="shared" si="0"/>
        <v>80</v>
      </c>
      <c r="H16" s="95" t="s">
        <v>75</v>
      </c>
      <c r="I16" s="95">
        <v>16</v>
      </c>
      <c r="J16" s="94" t="str">
        <f>LOOKUP(I16,Teams!$A$2:$B$25)</f>
        <v>Lightning Bots</v>
      </c>
      <c r="K16" s="104">
        <f t="shared" si="1"/>
        <v>90</v>
      </c>
      <c r="L16" s="105"/>
      <c r="M16" s="5">
        <f>COUNTIF(E$11:E16,E16)+COUNTIF(I$11:I16,E16)</f>
        <v>1</v>
      </c>
      <c r="N16" s="5">
        <f>COUNTIF(E$11:E16,I16)+COUNTIF(I$11:I16,I16)</f>
        <v>1</v>
      </c>
      <c r="O16" s="5" t="str">
        <f t="shared" si="2"/>
        <v>15R1</v>
      </c>
      <c r="P16" s="5" t="str">
        <f t="shared" si="3"/>
        <v>16R1</v>
      </c>
      <c r="Q16" s="5">
        <f ca="1">OFFSET(TeamsData!Q$2,E16-1,M16-1)</f>
        <v>80</v>
      </c>
      <c r="R16" s="5">
        <f ca="1">OFFSET(TeamsData!Q$2,I16-1,N16-1)</f>
        <v>90</v>
      </c>
      <c r="S16" t="str">
        <f t="shared" si="4"/>
        <v>A</v>
      </c>
    </row>
    <row r="17" spans="1:19" ht="15" customHeight="1">
      <c r="A17" s="106"/>
      <c r="B17" s="101">
        <v>7</v>
      </c>
      <c r="C17" s="107">
        <v>0.5902777777777777</v>
      </c>
      <c r="D17" s="107" t="s">
        <v>72</v>
      </c>
      <c r="E17" s="103">
        <v>7</v>
      </c>
      <c r="F17" s="94" t="str">
        <f>LOOKUP(E17,Teams!$A$2:$B$25)</f>
        <v>SAP0wer4</v>
      </c>
      <c r="G17" s="104">
        <f t="shared" si="0"/>
        <v>135</v>
      </c>
      <c r="H17" s="95" t="s">
        <v>73</v>
      </c>
      <c r="I17" s="95">
        <v>5</v>
      </c>
      <c r="J17" s="94" t="str">
        <f>LOOKUP(I17,Teams!$A$2:$B$25)</f>
        <v>Gears</v>
      </c>
      <c r="K17" s="104">
        <f t="shared" si="1"/>
        <v>63</v>
      </c>
      <c r="L17" s="105"/>
      <c r="M17" s="5">
        <f>COUNTIF(E$11:E17,E17)+COUNTIF(I$11:I17,E17)</f>
        <v>2</v>
      </c>
      <c r="N17" s="5">
        <f>COUNTIF(E$11:E17,I17)+COUNTIF(I$11:I17,I17)</f>
        <v>2</v>
      </c>
      <c r="O17" s="5" t="str">
        <f t="shared" si="2"/>
        <v>7R2</v>
      </c>
      <c r="P17" s="5" t="str">
        <f t="shared" si="3"/>
        <v>5R2</v>
      </c>
      <c r="Q17" s="5">
        <f ca="1">OFFSET(TeamsData!Q$2,E17-1,M17-1)</f>
        <v>135</v>
      </c>
      <c r="R17" s="5">
        <f ca="1">OFFSET(TeamsData!Q$2,I17-1,N17-1)</f>
        <v>63</v>
      </c>
      <c r="S17" t="str">
        <f t="shared" si="4"/>
        <v>A</v>
      </c>
    </row>
    <row r="18" spans="1:19" ht="15" customHeight="1">
      <c r="A18" s="108"/>
      <c r="B18" s="101">
        <v>8</v>
      </c>
      <c r="C18" s="107">
        <v>0.59375</v>
      </c>
      <c r="D18" s="107" t="s">
        <v>74</v>
      </c>
      <c r="E18" s="103">
        <v>8</v>
      </c>
      <c r="F18" s="94" t="str">
        <f>LOOKUP(E18,Teams!$A$2:$B$25)</f>
        <v>Adroits</v>
      </c>
      <c r="G18" s="104">
        <f t="shared" si="0"/>
        <v>87</v>
      </c>
      <c r="H18" s="95" t="s">
        <v>75</v>
      </c>
      <c r="I18" s="95">
        <v>6</v>
      </c>
      <c r="J18" s="94" t="str">
        <f>LOOKUP(I18,Teams!$A$2:$B$25)</f>
        <v>40 Loyola SAPlings</v>
      </c>
      <c r="K18" s="104">
        <f t="shared" si="1"/>
        <v>87</v>
      </c>
      <c r="L18" s="105"/>
      <c r="M18" s="5">
        <f>COUNTIF(E$11:E18,E18)+COUNTIF(I$11:I18,E18)</f>
        <v>2</v>
      </c>
      <c r="N18" s="5">
        <f>COUNTIF(E$11:E18,I18)+COUNTIF(I$11:I18,I18)</f>
        <v>2</v>
      </c>
      <c r="O18" s="5" t="str">
        <f t="shared" si="2"/>
        <v>8R2</v>
      </c>
      <c r="P18" s="5" t="str">
        <f t="shared" si="3"/>
        <v>6R2</v>
      </c>
      <c r="Q18" s="5">
        <f ca="1">OFFSET(TeamsData!Q$2,E18-1,M18-1)</f>
        <v>87</v>
      </c>
      <c r="R18" s="5">
        <f ca="1">OFFSET(TeamsData!Q$2,I18-1,N18-1)</f>
        <v>87</v>
      </c>
      <c r="S18" t="str">
        <f t="shared" si="4"/>
        <v>A</v>
      </c>
    </row>
    <row r="19" spans="1:19" ht="15" customHeight="1">
      <c r="A19" s="108"/>
      <c r="B19" s="101">
        <v>9</v>
      </c>
      <c r="C19" s="107">
        <v>0.5972222222222221</v>
      </c>
      <c r="D19" s="107" t="s">
        <v>72</v>
      </c>
      <c r="E19" s="103">
        <v>11</v>
      </c>
      <c r="F19" s="94" t="str">
        <f>LOOKUP(E19,Teams!$A$2:$B$25)</f>
        <v>The Other Team Again</v>
      </c>
      <c r="G19" s="104">
        <f t="shared" si="0"/>
        <v>124</v>
      </c>
      <c r="H19" s="95" t="s">
        <v>73</v>
      </c>
      <c r="I19" s="95">
        <v>9</v>
      </c>
      <c r="J19" s="94" t="str">
        <f>LOOKUP(I19,Teams!$A$2:$B$25)</f>
        <v>Kung Food</v>
      </c>
      <c r="K19" s="104">
        <f t="shared" si="1"/>
        <v>114</v>
      </c>
      <c r="L19" s="105"/>
      <c r="M19" s="5">
        <f>COUNTIF(E$11:E19,E19)+COUNTIF(I$11:I19,E19)</f>
        <v>2</v>
      </c>
      <c r="N19" s="5">
        <f>COUNTIF(E$11:E19,I19)+COUNTIF(I$11:I19,I19)</f>
        <v>2</v>
      </c>
      <c r="O19" s="5" t="str">
        <f t="shared" si="2"/>
        <v>11R2</v>
      </c>
      <c r="P19" s="5" t="str">
        <f t="shared" si="3"/>
        <v>9R2</v>
      </c>
      <c r="Q19" s="5">
        <f ca="1">OFFSET(TeamsData!Q$2,E19-1,M19-1)</f>
        <v>124</v>
      </c>
      <c r="R19" s="5">
        <f ca="1">OFFSET(TeamsData!Q$2,I19-1,N19-1)</f>
        <v>114</v>
      </c>
      <c r="S19" t="str">
        <f t="shared" si="4"/>
        <v>A</v>
      </c>
    </row>
    <row r="20" spans="1:19" ht="15" customHeight="1">
      <c r="A20" s="109"/>
      <c r="B20" s="101">
        <v>10</v>
      </c>
      <c r="C20" s="107">
        <v>0.6006944444444443</v>
      </c>
      <c r="D20" s="107" t="s">
        <v>74</v>
      </c>
      <c r="E20" s="103">
        <v>12</v>
      </c>
      <c r="F20" s="94" t="str">
        <f>LOOKUP(E20,Teams!$A$2:$B$25)</f>
        <v>Alien Calamari</v>
      </c>
      <c r="G20" s="104">
        <f t="shared" si="0"/>
        <v>103</v>
      </c>
      <c r="H20" s="95" t="s">
        <v>75</v>
      </c>
      <c r="I20" s="95">
        <v>10</v>
      </c>
      <c r="J20" s="94" t="str">
        <f>LOOKUP(I20,Teams!$A$2:$B$25)</f>
        <v>Fantastic Lego Legion</v>
      </c>
      <c r="K20" s="104">
        <f t="shared" si="1"/>
        <v>112</v>
      </c>
      <c r="L20" s="110"/>
      <c r="M20" s="5">
        <f>COUNTIF(E$11:E20,E20)+COUNTIF(I$11:I20,E20)</f>
        <v>2</v>
      </c>
      <c r="N20" s="5">
        <f>COUNTIF(E$11:E20,I20)+COUNTIF(I$11:I20,I20)</f>
        <v>2</v>
      </c>
      <c r="O20" s="5" t="str">
        <f t="shared" si="2"/>
        <v>12R2</v>
      </c>
      <c r="P20" s="5" t="str">
        <f t="shared" si="3"/>
        <v>10R2</v>
      </c>
      <c r="Q20" s="5">
        <f ca="1">OFFSET(TeamsData!Q$2,E20-1,M20-1)</f>
        <v>103</v>
      </c>
      <c r="R20" s="5">
        <f ca="1">OFFSET(TeamsData!Q$2,I20-1,N20-1)</f>
        <v>112</v>
      </c>
      <c r="S20" t="str">
        <f t="shared" si="4"/>
        <v>A</v>
      </c>
    </row>
    <row r="21" spans="1:18" ht="15" customHeight="1">
      <c r="A21" s="111" t="s">
        <v>66</v>
      </c>
      <c r="B21" s="112" t="s">
        <v>92</v>
      </c>
      <c r="C21" s="112" t="s">
        <v>93</v>
      </c>
      <c r="D21" s="112" t="s">
        <v>71</v>
      </c>
      <c r="E21" s="113" t="s">
        <v>94</v>
      </c>
      <c r="F21" s="112" t="s">
        <v>95</v>
      </c>
      <c r="G21" s="112"/>
      <c r="H21" s="112" t="s">
        <v>71</v>
      </c>
      <c r="I21" s="113" t="s">
        <v>94</v>
      </c>
      <c r="J21" s="112" t="s">
        <v>95</v>
      </c>
      <c r="K21" s="114"/>
      <c r="L21" s="110"/>
      <c r="M21" s="5"/>
      <c r="N21" s="5"/>
      <c r="O21" s="5"/>
      <c r="P21" s="5"/>
      <c r="Q21" s="5"/>
      <c r="R21" s="5"/>
    </row>
    <row r="22" spans="1:19" ht="15" customHeight="1">
      <c r="A22" s="100" t="s">
        <v>106</v>
      </c>
      <c r="B22" s="95">
        <v>11</v>
      </c>
      <c r="C22" s="107">
        <v>0.6145833333333331</v>
      </c>
      <c r="D22" s="102" t="s">
        <v>72</v>
      </c>
      <c r="E22" s="103">
        <v>15</v>
      </c>
      <c r="F22" s="94" t="s">
        <v>83</v>
      </c>
      <c r="G22" s="104">
        <f t="shared" si="0"/>
        <v>113</v>
      </c>
      <c r="H22" s="95" t="s">
        <v>73</v>
      </c>
      <c r="I22" s="95">
        <v>13</v>
      </c>
      <c r="J22" s="94" t="s">
        <v>90</v>
      </c>
      <c r="K22" s="104">
        <f t="shared" si="1"/>
        <v>134</v>
      </c>
      <c r="L22" s="105"/>
      <c r="M22" s="5">
        <f>COUNTIF(E$11:E22,E22)+COUNTIF(I$11:I22,E22)</f>
        <v>2</v>
      </c>
      <c r="N22" s="5">
        <f>COUNTIF(E$11:E22,I22)+COUNTIF(I$11:I22,I22)</f>
        <v>2</v>
      </c>
      <c r="O22" s="5" t="str">
        <f aca="true" t="shared" si="5" ref="O22:O27">E22&amp;"R"&amp;M22</f>
        <v>15R2</v>
      </c>
      <c r="P22" s="5" t="str">
        <f aca="true" t="shared" si="6" ref="P22:P27">I22&amp;"R"&amp;N22</f>
        <v>13R2</v>
      </c>
      <c r="Q22" s="5">
        <f ca="1">OFFSET(TeamsData!Q$2,E22-1,M22-1)</f>
        <v>113</v>
      </c>
      <c r="R22" s="5">
        <f ca="1">OFFSET(TeamsData!Q$2,I22-1,N22-1)</f>
        <v>134</v>
      </c>
      <c r="S22" s="123" t="str">
        <f>A22</f>
        <v>B</v>
      </c>
    </row>
    <row r="23" spans="1:19" ht="15" customHeight="1">
      <c r="A23" s="108"/>
      <c r="B23" s="95">
        <v>12</v>
      </c>
      <c r="C23" s="107">
        <v>0.6180555555555554</v>
      </c>
      <c r="D23" s="107" t="s">
        <v>74</v>
      </c>
      <c r="E23" s="103">
        <v>1</v>
      </c>
      <c r="F23" s="94" t="s">
        <v>84</v>
      </c>
      <c r="G23" s="104">
        <f t="shared" si="0"/>
        <v>152</v>
      </c>
      <c r="H23" s="95" t="s">
        <v>75</v>
      </c>
      <c r="I23" s="95">
        <v>2</v>
      </c>
      <c r="J23" s="94" t="s">
        <v>80</v>
      </c>
      <c r="K23" s="104">
        <f t="shared" si="1"/>
        <v>110</v>
      </c>
      <c r="L23" s="105"/>
      <c r="M23" s="5">
        <f>COUNTIF(E$11:E23,E23)+COUNTIF(I$11:I23,E23)</f>
        <v>1</v>
      </c>
      <c r="N23" s="5">
        <f>COUNTIF(E$11:E23,I23)+COUNTIF(I$11:I23,I23)</f>
        <v>1</v>
      </c>
      <c r="O23" s="5" t="str">
        <f t="shared" si="5"/>
        <v>1R1</v>
      </c>
      <c r="P23" s="5" t="str">
        <f t="shared" si="6"/>
        <v>2R1</v>
      </c>
      <c r="Q23" s="5">
        <f ca="1">OFFSET(TeamsData!Q$2,E23-1,M23-1)</f>
        <v>152</v>
      </c>
      <c r="R23" s="5">
        <f ca="1">OFFSET(TeamsData!Q$2,I23-1,N23-1)</f>
        <v>110</v>
      </c>
      <c r="S23" t="str">
        <f>S22</f>
        <v>B</v>
      </c>
    </row>
    <row r="24" spans="1:19" ht="15" customHeight="1">
      <c r="A24" s="108"/>
      <c r="B24" s="95">
        <v>13</v>
      </c>
      <c r="C24" s="107">
        <v>0.6215277777777776</v>
      </c>
      <c r="D24" s="107" t="s">
        <v>72</v>
      </c>
      <c r="E24" s="103">
        <v>3</v>
      </c>
      <c r="F24" s="94" t="s">
        <v>81</v>
      </c>
      <c r="G24" s="104">
        <f t="shared" si="0"/>
        <v>132</v>
      </c>
      <c r="H24" s="95" t="s">
        <v>73</v>
      </c>
      <c r="I24" s="95">
        <v>4</v>
      </c>
      <c r="J24" s="94" t="s">
        <v>85</v>
      </c>
      <c r="K24" s="104">
        <f t="shared" si="1"/>
        <v>99</v>
      </c>
      <c r="L24" s="105"/>
      <c r="M24" s="5">
        <f>COUNTIF(E$11:E24,E24)+COUNTIF(I$11:I24,E24)</f>
        <v>1</v>
      </c>
      <c r="N24" s="5">
        <f>COUNTIF(E$11:E24,I24)+COUNTIF(I$11:I24,I24)</f>
        <v>1</v>
      </c>
      <c r="O24" s="5" t="str">
        <f t="shared" si="5"/>
        <v>3R1</v>
      </c>
      <c r="P24" s="5" t="str">
        <f t="shared" si="6"/>
        <v>4R1</v>
      </c>
      <c r="Q24" s="5">
        <f ca="1">OFFSET(TeamsData!Q$2,E24-1,M24-1)</f>
        <v>132</v>
      </c>
      <c r="R24" s="5">
        <f ca="1">OFFSET(TeamsData!Q$2,I24-1,N24-1)</f>
        <v>99</v>
      </c>
      <c r="S24" t="str">
        <f>S23</f>
        <v>B</v>
      </c>
    </row>
    <row r="25" spans="1:19" ht="15" customHeight="1">
      <c r="A25" s="108"/>
      <c r="B25" s="95">
        <v>14</v>
      </c>
      <c r="C25" s="107">
        <v>0.625</v>
      </c>
      <c r="D25" s="107" t="s">
        <v>74</v>
      </c>
      <c r="E25" s="103">
        <v>14</v>
      </c>
      <c r="F25" s="94" t="s">
        <v>91</v>
      </c>
      <c r="G25" s="104">
        <f t="shared" si="0"/>
        <v>124</v>
      </c>
      <c r="H25" s="95" t="s">
        <v>75</v>
      </c>
      <c r="I25" s="95">
        <v>9</v>
      </c>
      <c r="J25" s="94" t="s">
        <v>78</v>
      </c>
      <c r="K25" s="104">
        <f t="shared" si="1"/>
        <v>122</v>
      </c>
      <c r="L25" s="105"/>
      <c r="M25" s="5">
        <f>COUNTIF(E$11:E25,E25)+COUNTIF(I$11:I25,E25)</f>
        <v>2</v>
      </c>
      <c r="N25" s="5">
        <f>COUNTIF(E$11:E25,I25)+COUNTIF(I$11:I25,I25)</f>
        <v>3</v>
      </c>
      <c r="O25" s="5" t="str">
        <f t="shared" si="5"/>
        <v>14R2</v>
      </c>
      <c r="P25" s="5" t="str">
        <f t="shared" si="6"/>
        <v>9R3</v>
      </c>
      <c r="Q25" s="5">
        <f ca="1">OFFSET(TeamsData!Q$2,E25-1,M25-1)</f>
        <v>124</v>
      </c>
      <c r="R25" s="5">
        <f ca="1">OFFSET(TeamsData!Q$2,I25-1,N25-1)</f>
        <v>122</v>
      </c>
      <c r="S25" t="str">
        <f>S24</f>
        <v>B</v>
      </c>
    </row>
    <row r="26" spans="1:19" ht="15" customHeight="1">
      <c r="A26" s="115"/>
      <c r="B26" s="95">
        <v>15</v>
      </c>
      <c r="C26" s="107">
        <v>0.628472222222222</v>
      </c>
      <c r="D26" s="107" t="s">
        <v>72</v>
      </c>
      <c r="E26" s="103">
        <v>8</v>
      </c>
      <c r="F26" s="94" t="s">
        <v>88</v>
      </c>
      <c r="G26" s="104">
        <f t="shared" si="0"/>
        <v>107</v>
      </c>
      <c r="H26" s="95" t="s">
        <v>73</v>
      </c>
      <c r="I26" s="95">
        <v>16</v>
      </c>
      <c r="J26" s="94" t="s">
        <v>79</v>
      </c>
      <c r="K26" s="104">
        <f t="shared" si="1"/>
        <v>135</v>
      </c>
      <c r="L26" s="105"/>
      <c r="M26" s="5">
        <f>COUNTIF(E$11:E26,E26)+COUNTIF(I$11:I26,E26)</f>
        <v>3</v>
      </c>
      <c r="N26" s="5">
        <f>COUNTIF(E$11:E26,I26)+COUNTIF(I$11:I26,I26)</f>
        <v>2</v>
      </c>
      <c r="O26" s="5" t="str">
        <f t="shared" si="5"/>
        <v>8R3</v>
      </c>
      <c r="P26" s="5" t="str">
        <f t="shared" si="6"/>
        <v>16R2</v>
      </c>
      <c r="Q26" s="5">
        <f ca="1">OFFSET(TeamsData!Q$2,E26-1,M26-1)</f>
        <v>107</v>
      </c>
      <c r="R26" s="5">
        <f ca="1">OFFSET(TeamsData!Q$2,I26-1,N26-1)</f>
        <v>135</v>
      </c>
      <c r="S26" t="str">
        <f>S25</f>
        <v>B</v>
      </c>
    </row>
    <row r="27" spans="1:19" ht="15" customHeight="1">
      <c r="A27" s="116"/>
      <c r="B27" s="95">
        <v>16</v>
      </c>
      <c r="C27" s="107">
        <v>0.6319444444444442</v>
      </c>
      <c r="D27" s="107" t="s">
        <v>74</v>
      </c>
      <c r="E27" s="103">
        <v>10</v>
      </c>
      <c r="F27" s="94" t="s">
        <v>77</v>
      </c>
      <c r="G27" s="104">
        <f t="shared" si="0"/>
        <v>81</v>
      </c>
      <c r="H27" s="95" t="s">
        <v>75</v>
      </c>
      <c r="I27" s="95">
        <v>11</v>
      </c>
      <c r="J27" s="94" t="s">
        <v>82</v>
      </c>
      <c r="K27" s="104">
        <f t="shared" si="1"/>
        <v>144</v>
      </c>
      <c r="L27" s="105"/>
      <c r="M27" s="5">
        <f>COUNTIF(E$11:E27,E27)+COUNTIF(I$11:I27,E27)</f>
        <v>3</v>
      </c>
      <c r="N27" s="5">
        <f>COUNTIF(E$11:E27,I27)+COUNTIF(I$11:I27,I27)</f>
        <v>3</v>
      </c>
      <c r="O27" s="5" t="str">
        <f t="shared" si="5"/>
        <v>10R3</v>
      </c>
      <c r="P27" s="5" t="str">
        <f t="shared" si="6"/>
        <v>11R3</v>
      </c>
      <c r="Q27" s="5">
        <f ca="1">OFFSET(TeamsData!Q$2,E27-1,M27-1)</f>
        <v>81</v>
      </c>
      <c r="R27" s="5">
        <f ca="1">OFFSET(TeamsData!Q$2,I27-1,N27-1)</f>
        <v>144</v>
      </c>
      <c r="S27" t="str">
        <f>S26</f>
        <v>B</v>
      </c>
    </row>
    <row r="28" spans="1:18" ht="15" customHeight="1">
      <c r="A28" s="117" t="s">
        <v>66</v>
      </c>
      <c r="B28" s="118" t="s">
        <v>92</v>
      </c>
      <c r="C28" s="112" t="s">
        <v>93</v>
      </c>
      <c r="D28" s="112" t="s">
        <v>71</v>
      </c>
      <c r="E28" s="113" t="s">
        <v>94</v>
      </c>
      <c r="F28" s="112" t="s">
        <v>95</v>
      </c>
      <c r="G28" s="112"/>
      <c r="H28" s="112" t="s">
        <v>71</v>
      </c>
      <c r="I28" s="113" t="s">
        <v>94</v>
      </c>
      <c r="J28" s="112" t="s">
        <v>95</v>
      </c>
      <c r="K28" s="114"/>
      <c r="L28" s="105"/>
      <c r="M28" s="5"/>
      <c r="N28" s="5"/>
      <c r="O28" s="5"/>
      <c r="P28" s="5"/>
      <c r="Q28" s="5"/>
      <c r="R28" s="5"/>
    </row>
    <row r="29" spans="1:19" ht="15" customHeight="1">
      <c r="A29" s="100" t="s">
        <v>107</v>
      </c>
      <c r="B29" s="95">
        <v>17</v>
      </c>
      <c r="C29" s="107">
        <v>0.645833333333333</v>
      </c>
      <c r="D29" s="107" t="s">
        <v>72</v>
      </c>
      <c r="E29" s="103">
        <v>4</v>
      </c>
      <c r="F29" s="94" t="s">
        <v>85</v>
      </c>
      <c r="G29" s="104">
        <f t="shared" si="0"/>
        <v>109</v>
      </c>
      <c r="H29" s="95" t="s">
        <v>73</v>
      </c>
      <c r="I29" s="95">
        <v>2</v>
      </c>
      <c r="J29" s="94" t="s">
        <v>80</v>
      </c>
      <c r="K29" s="104">
        <f t="shared" si="1"/>
        <v>107</v>
      </c>
      <c r="L29" s="105"/>
      <c r="M29" s="5">
        <f>COUNTIF(E$11:E29,E29)+COUNTIF(I$11:I29,E29)</f>
        <v>2</v>
      </c>
      <c r="N29" s="5">
        <f>COUNTIF(E$11:E29,I29)+COUNTIF(I$11:I29,I29)</f>
        <v>2</v>
      </c>
      <c r="O29" s="5" t="str">
        <f aca="true" t="shared" si="7" ref="O29:O36">E29&amp;"R"&amp;M29</f>
        <v>4R2</v>
      </c>
      <c r="P29" s="5" t="str">
        <f aca="true" t="shared" si="8" ref="P29:P36">I29&amp;"R"&amp;N29</f>
        <v>2R2</v>
      </c>
      <c r="Q29" s="5">
        <f ca="1">OFFSET(TeamsData!Q$2,E29-1,M29-1)</f>
        <v>109</v>
      </c>
      <c r="R29" s="5">
        <f ca="1">OFFSET(TeamsData!Q$2,I29-1,N29-1)</f>
        <v>107</v>
      </c>
      <c r="S29" s="123" t="str">
        <f>A29</f>
        <v>C</v>
      </c>
    </row>
    <row r="30" spans="1:19" ht="15" customHeight="1">
      <c r="A30" s="119"/>
      <c r="B30" s="95">
        <v>18</v>
      </c>
      <c r="C30" s="107">
        <v>0.6493055555555552</v>
      </c>
      <c r="D30" s="107" t="s">
        <v>74</v>
      </c>
      <c r="E30" s="103">
        <v>3</v>
      </c>
      <c r="F30" s="94" t="s">
        <v>81</v>
      </c>
      <c r="G30" s="104">
        <f t="shared" si="0"/>
        <v>92</v>
      </c>
      <c r="H30" s="95" t="s">
        <v>75</v>
      </c>
      <c r="I30" s="95">
        <v>1</v>
      </c>
      <c r="J30" s="94" t="s">
        <v>84</v>
      </c>
      <c r="K30" s="104">
        <f t="shared" si="1"/>
        <v>122</v>
      </c>
      <c r="L30" s="105"/>
      <c r="M30" s="5">
        <f>COUNTIF(E$11:E30,E30)+COUNTIF(I$11:I30,E30)</f>
        <v>2</v>
      </c>
      <c r="N30" s="5">
        <f>COUNTIF(E$11:E30,I30)+COUNTIF(I$11:I30,I30)</f>
        <v>2</v>
      </c>
      <c r="O30" s="5" t="str">
        <f t="shared" si="7"/>
        <v>3R2</v>
      </c>
      <c r="P30" s="5" t="str">
        <f t="shared" si="8"/>
        <v>1R2</v>
      </c>
      <c r="Q30" s="5">
        <f ca="1">OFFSET(TeamsData!Q$2,E30-1,M30-1)</f>
        <v>92</v>
      </c>
      <c r="R30" s="5">
        <f ca="1">OFFSET(TeamsData!Q$2,I30-1,N30-1)</f>
        <v>122</v>
      </c>
      <c r="S30" t="str">
        <f>S29</f>
        <v>C</v>
      </c>
    </row>
    <row r="31" spans="1:19" ht="15" customHeight="1">
      <c r="A31" s="119"/>
      <c r="B31" s="95">
        <v>19</v>
      </c>
      <c r="C31" s="107">
        <v>0.6527777777777775</v>
      </c>
      <c r="D31" s="107" t="s">
        <v>72</v>
      </c>
      <c r="E31" s="103">
        <v>14</v>
      </c>
      <c r="F31" s="94" t="s">
        <v>91</v>
      </c>
      <c r="G31" s="104">
        <f t="shared" si="0"/>
        <v>119</v>
      </c>
      <c r="H31" s="95" t="s">
        <v>73</v>
      </c>
      <c r="I31" s="95">
        <v>15</v>
      </c>
      <c r="J31" s="94" t="s">
        <v>83</v>
      </c>
      <c r="K31" s="104">
        <f t="shared" si="1"/>
        <v>96</v>
      </c>
      <c r="L31" s="110"/>
      <c r="M31" s="5">
        <f>COUNTIF(E$11:E31,E31)+COUNTIF(I$11:I31,E31)</f>
        <v>3</v>
      </c>
      <c r="N31" s="5">
        <f>COUNTIF(E$11:E31,I31)+COUNTIF(I$11:I31,I31)</f>
        <v>3</v>
      </c>
      <c r="O31" s="5" t="str">
        <f t="shared" si="7"/>
        <v>14R3</v>
      </c>
      <c r="P31" s="5" t="str">
        <f t="shared" si="8"/>
        <v>15R3</v>
      </c>
      <c r="Q31" s="5">
        <f ca="1">OFFSET(TeamsData!Q$2,E31-1,M31-1)</f>
        <v>119</v>
      </c>
      <c r="R31" s="5">
        <f ca="1">OFFSET(TeamsData!Q$2,I31-1,N31-1)</f>
        <v>96</v>
      </c>
      <c r="S31" t="str">
        <f aca="true" t="shared" si="9" ref="S31:S36">S30</f>
        <v>C</v>
      </c>
    </row>
    <row r="32" spans="1:19" ht="15" customHeight="1">
      <c r="A32" s="119"/>
      <c r="B32" s="95">
        <v>20</v>
      </c>
      <c r="C32" s="107">
        <v>0.65625</v>
      </c>
      <c r="D32" s="107" t="s">
        <v>74</v>
      </c>
      <c r="E32" s="103">
        <v>16</v>
      </c>
      <c r="F32" s="94" t="s">
        <v>79</v>
      </c>
      <c r="G32" s="104">
        <f t="shared" si="0"/>
        <v>150</v>
      </c>
      <c r="H32" s="95" t="s">
        <v>75</v>
      </c>
      <c r="I32" s="95">
        <v>13</v>
      </c>
      <c r="J32" s="94" t="s">
        <v>90</v>
      </c>
      <c r="K32" s="104">
        <f t="shared" si="1"/>
        <v>130</v>
      </c>
      <c r="L32" s="110"/>
      <c r="M32" s="5">
        <f>COUNTIF(E$11:E32,E32)+COUNTIF(I$11:I32,E32)</f>
        <v>3</v>
      </c>
      <c r="N32" s="5">
        <f>COUNTIF(E$11:E32,I32)+COUNTIF(I$11:I32,I32)</f>
        <v>3</v>
      </c>
      <c r="O32" s="5" t="str">
        <f t="shared" si="7"/>
        <v>16R3</v>
      </c>
      <c r="P32" s="5" t="str">
        <f t="shared" si="8"/>
        <v>13R3</v>
      </c>
      <c r="Q32" s="5">
        <f ca="1">OFFSET(TeamsData!Q$2,E32-1,M32-1)</f>
        <v>150</v>
      </c>
      <c r="R32" s="5">
        <f ca="1">OFFSET(TeamsData!Q$2,I32-1,N32-1)</f>
        <v>130</v>
      </c>
      <c r="S32" t="str">
        <f t="shared" si="9"/>
        <v>C</v>
      </c>
    </row>
    <row r="33" spans="1:19" ht="15" customHeight="1">
      <c r="A33" s="119"/>
      <c r="B33" s="95">
        <v>21</v>
      </c>
      <c r="C33" s="107">
        <v>0.6597222222222219</v>
      </c>
      <c r="D33" s="107" t="s">
        <v>72</v>
      </c>
      <c r="E33" s="103">
        <v>5</v>
      </c>
      <c r="F33" s="94" t="s">
        <v>86</v>
      </c>
      <c r="G33" s="104">
        <f t="shared" si="0"/>
        <v>93</v>
      </c>
      <c r="H33" s="95" t="s">
        <v>73</v>
      </c>
      <c r="I33" s="95">
        <v>12</v>
      </c>
      <c r="J33" s="94" t="s">
        <v>89</v>
      </c>
      <c r="K33" s="104">
        <f t="shared" si="1"/>
        <v>88</v>
      </c>
      <c r="L33" s="105"/>
      <c r="M33" s="5">
        <f>COUNTIF(E$11:E33,E33)+COUNTIF(I$11:I33,E33)</f>
        <v>3</v>
      </c>
      <c r="N33" s="5">
        <f>COUNTIF(E$11:E33,I33)+COUNTIF(I$11:I33,I33)</f>
        <v>3</v>
      </c>
      <c r="O33" s="5" t="str">
        <f t="shared" si="7"/>
        <v>5R3</v>
      </c>
      <c r="P33" s="5" t="str">
        <f t="shared" si="8"/>
        <v>12R3</v>
      </c>
      <c r="Q33" s="5">
        <f ca="1">OFFSET(TeamsData!Q$2,E33-1,M33-1)</f>
        <v>93</v>
      </c>
      <c r="R33" s="5">
        <f ca="1">OFFSET(TeamsData!Q$2,I33-1,N33-1)</f>
        <v>88</v>
      </c>
      <c r="S33" t="str">
        <f t="shared" si="9"/>
        <v>C</v>
      </c>
    </row>
    <row r="34" spans="1:19" ht="15" customHeight="1">
      <c r="A34" s="119"/>
      <c r="B34" s="95">
        <v>22</v>
      </c>
      <c r="C34" s="107">
        <v>0.6631944444444441</v>
      </c>
      <c r="D34" s="107" t="s">
        <v>74</v>
      </c>
      <c r="E34" s="103">
        <v>6</v>
      </c>
      <c r="F34" s="94" t="s">
        <v>76</v>
      </c>
      <c r="G34" s="104">
        <f t="shared" si="0"/>
        <v>124</v>
      </c>
      <c r="H34" s="95" t="s">
        <v>75</v>
      </c>
      <c r="I34" s="95">
        <v>7</v>
      </c>
      <c r="J34" s="94" t="s">
        <v>87</v>
      </c>
      <c r="K34" s="104">
        <f t="shared" si="1"/>
        <v>96</v>
      </c>
      <c r="L34" s="105"/>
      <c r="M34" s="5">
        <f>COUNTIF(E$11:E34,E34)+COUNTIF(I$11:I34,E34)</f>
        <v>3</v>
      </c>
      <c r="N34" s="5">
        <f>COUNTIF(E$11:E34,I34)+COUNTIF(I$11:I34,I34)</f>
        <v>3</v>
      </c>
      <c r="O34" s="5" t="str">
        <f t="shared" si="7"/>
        <v>6R3</v>
      </c>
      <c r="P34" s="5" t="str">
        <f t="shared" si="8"/>
        <v>7R3</v>
      </c>
      <c r="Q34" s="5">
        <f ca="1">OFFSET(TeamsData!Q$2,E34-1,M34-1)</f>
        <v>124</v>
      </c>
      <c r="R34" s="5">
        <f ca="1">OFFSET(TeamsData!Q$2,I34-1,N34-1)</f>
        <v>96</v>
      </c>
      <c r="S34" t="str">
        <f t="shared" si="9"/>
        <v>C</v>
      </c>
    </row>
    <row r="35" spans="1:19" ht="15" customHeight="1">
      <c r="A35" s="119"/>
      <c r="B35" s="95">
        <v>23</v>
      </c>
      <c r="C35" s="107">
        <v>0.6666666666666663</v>
      </c>
      <c r="D35" s="107" t="s">
        <v>72</v>
      </c>
      <c r="E35" s="103">
        <v>4</v>
      </c>
      <c r="F35" s="94" t="s">
        <v>85</v>
      </c>
      <c r="G35" s="104">
        <f t="shared" si="0"/>
        <v>89</v>
      </c>
      <c r="H35" s="95" t="s">
        <v>73</v>
      </c>
      <c r="I35" s="95">
        <v>1</v>
      </c>
      <c r="J35" s="94" t="s">
        <v>84</v>
      </c>
      <c r="K35" s="104">
        <f t="shared" si="1"/>
        <v>150</v>
      </c>
      <c r="L35" s="105"/>
      <c r="M35" s="5">
        <f>COUNTIF(E$11:E35,E35)+COUNTIF(I$11:I35,E35)</f>
        <v>3</v>
      </c>
      <c r="N35" s="5">
        <f>COUNTIF(E$11:E35,I35)+COUNTIF(I$11:I35,I35)</f>
        <v>3</v>
      </c>
      <c r="O35" s="5" t="str">
        <f t="shared" si="7"/>
        <v>4R3</v>
      </c>
      <c r="P35" s="5" t="str">
        <f t="shared" si="8"/>
        <v>1R3</v>
      </c>
      <c r="Q35" s="5">
        <f ca="1">OFFSET(TeamsData!Q$2,E35-1,M35-1)</f>
        <v>89</v>
      </c>
      <c r="R35" s="5">
        <f ca="1">OFFSET(TeamsData!Q$2,I35-1,N35-1)</f>
        <v>150</v>
      </c>
      <c r="S35" t="str">
        <f t="shared" si="9"/>
        <v>C</v>
      </c>
    </row>
    <row r="36" spans="1:19" ht="15" customHeight="1">
      <c r="A36" s="119"/>
      <c r="B36" s="95">
        <v>24</v>
      </c>
      <c r="C36" s="107">
        <v>0.6701388888888885</v>
      </c>
      <c r="D36" s="107" t="s">
        <v>74</v>
      </c>
      <c r="E36" s="103">
        <v>2</v>
      </c>
      <c r="F36" s="94" t="s">
        <v>80</v>
      </c>
      <c r="G36" s="104">
        <f t="shared" si="0"/>
        <v>112</v>
      </c>
      <c r="H36" s="95" t="s">
        <v>75</v>
      </c>
      <c r="I36" s="95">
        <v>3</v>
      </c>
      <c r="J36" s="94" t="s">
        <v>81</v>
      </c>
      <c r="K36" s="104">
        <f t="shared" si="1"/>
        <v>133</v>
      </c>
      <c r="L36" s="105"/>
      <c r="M36" s="5">
        <f>COUNTIF(E$11:E36,E36)+COUNTIF(I$11:I36,E36)</f>
        <v>3</v>
      </c>
      <c r="N36" s="5">
        <f>COUNTIF(E$11:E36,I36)+COUNTIF(I$11:I36,I36)</f>
        <v>3</v>
      </c>
      <c r="O36" s="5" t="str">
        <f t="shared" si="7"/>
        <v>2R3</v>
      </c>
      <c r="P36" s="5" t="str">
        <f t="shared" si="8"/>
        <v>3R3</v>
      </c>
      <c r="Q36" s="5">
        <f ca="1">OFFSET(TeamsData!Q$2,E36-1,M36-1)</f>
        <v>112</v>
      </c>
      <c r="R36" s="5">
        <f ca="1">OFFSET(TeamsData!Q$2,I36-1,N36-1)</f>
        <v>133</v>
      </c>
      <c r="S36" t="str">
        <f t="shared" si="9"/>
        <v>C</v>
      </c>
    </row>
    <row r="37" spans="1:12" ht="12.75">
      <c r="A37" s="5"/>
      <c r="B37" s="5"/>
      <c r="C37" s="5"/>
      <c r="D37" s="5"/>
      <c r="E37" s="71"/>
      <c r="F37" s="5"/>
      <c r="G37" s="5"/>
      <c r="H37" s="67"/>
      <c r="I37" s="67"/>
      <c r="J37" s="5"/>
      <c r="K37" s="67"/>
      <c r="L37" s="67"/>
    </row>
    <row r="38" spans="1:12" ht="12.75">
      <c r="A38" s="5"/>
      <c r="B38" s="5"/>
      <c r="C38" s="5"/>
      <c r="D38" s="5"/>
      <c r="E38" s="71"/>
      <c r="F38" s="5"/>
      <c r="G38" s="5"/>
      <c r="H38" s="67"/>
      <c r="I38" s="67"/>
      <c r="J38" s="5"/>
      <c r="K38" s="67"/>
      <c r="L38" s="67"/>
    </row>
  </sheetData>
  <sheetProtection sheet="1" objects="1" scenarios="1"/>
  <conditionalFormatting sqref="G11:G20 G22:G36">
    <cfRule type="expression" priority="1" dxfId="2" stopIfTrue="1">
      <formula>M11=1</formula>
    </cfRule>
    <cfRule type="expression" priority="2" dxfId="0" stopIfTrue="1">
      <formula>M11=2</formula>
    </cfRule>
    <cfRule type="expression" priority="3" dxfId="3" stopIfTrue="1">
      <formula>M11=3</formula>
    </cfRule>
  </conditionalFormatting>
  <conditionalFormatting sqref="K20 K11:L19 L33:L36 L22:L30 K22:K36">
    <cfRule type="expression" priority="4" dxfId="2" stopIfTrue="1">
      <formula>N11=1</formula>
    </cfRule>
    <cfRule type="expression" priority="5" dxfId="0" stopIfTrue="1">
      <formula>N11=2</formula>
    </cfRule>
    <cfRule type="expression" priority="6" dxfId="3" stopIfTrue="1">
      <formula>N11=3</formula>
    </cfRule>
  </conditionalFormatting>
  <printOptions horizontalCentered="1" verticalCentered="1"/>
  <pageMargins left="0.25" right="0.25" top="0.26" bottom="0.32" header="0.17" footer="0.17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Q6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5" sqref="E25"/>
    </sheetView>
  </sheetViews>
  <sheetFormatPr defaultColWidth="9.140625" defaultRowHeight="12.75"/>
  <cols>
    <col min="1" max="1" width="3.57421875" style="0" customWidth="1"/>
    <col min="3" max="3" width="28.8515625" style="0" customWidth="1"/>
    <col min="4" max="10" width="4.7109375" style="0" customWidth="1"/>
    <col min="11" max="11" width="5.140625" style="0" customWidth="1"/>
    <col min="12" max="12" width="5.7109375" style="0" customWidth="1"/>
    <col min="13" max="13" width="7.57421875" style="0" customWidth="1"/>
    <col min="14" max="14" width="7.8515625" style="0" customWidth="1"/>
    <col min="15" max="15" width="8.140625" style="0" customWidth="1"/>
    <col min="16" max="16" width="8.00390625" style="0" customWidth="1"/>
    <col min="17" max="22" width="5.140625" style="0" customWidth="1"/>
    <col min="23" max="23" width="8.7109375" style="0" customWidth="1"/>
    <col min="24" max="28" width="6.8515625" style="0" customWidth="1"/>
    <col min="29" max="29" width="13.00390625" style="0" bestFit="1" customWidth="1"/>
    <col min="30" max="30" width="15.00390625" style="0" bestFit="1" customWidth="1"/>
    <col min="31" max="37" width="8.00390625" style="0" bestFit="1" customWidth="1"/>
    <col min="38" max="43" width="5.7109375" style="0" customWidth="1"/>
  </cols>
  <sheetData>
    <row r="1" spans="1:43" ht="12.75">
      <c r="A1" s="62" t="s">
        <v>57</v>
      </c>
      <c r="B1" s="62" t="s">
        <v>41</v>
      </c>
      <c r="C1" s="62" t="s">
        <v>42</v>
      </c>
      <c r="D1" s="62">
        <v>1</v>
      </c>
      <c r="E1" s="62">
        <v>2</v>
      </c>
      <c r="F1" s="62">
        <v>3</v>
      </c>
      <c r="G1" s="62">
        <v>4</v>
      </c>
      <c r="H1" s="62">
        <v>5</v>
      </c>
      <c r="I1" s="62">
        <v>6</v>
      </c>
      <c r="J1" s="62">
        <v>7</v>
      </c>
      <c r="K1" s="63" t="s">
        <v>58</v>
      </c>
      <c r="L1" s="64" t="s">
        <v>59</v>
      </c>
      <c r="M1" s="69" t="s">
        <v>60</v>
      </c>
      <c r="N1" s="69" t="s">
        <v>69</v>
      </c>
      <c r="O1" t="s">
        <v>112</v>
      </c>
      <c r="Q1" s="9">
        <v>1</v>
      </c>
      <c r="R1" s="9">
        <v>2</v>
      </c>
      <c r="S1" s="9">
        <v>3</v>
      </c>
      <c r="T1" s="9">
        <v>4</v>
      </c>
      <c r="U1" s="9">
        <v>5</v>
      </c>
      <c r="V1" s="9">
        <v>6</v>
      </c>
      <c r="W1" s="9">
        <v>7</v>
      </c>
      <c r="X1" s="5">
        <v>1</v>
      </c>
      <c r="Y1" s="5">
        <v>2</v>
      </c>
      <c r="Z1" s="5">
        <v>3</v>
      </c>
      <c r="AA1" s="5">
        <v>4</v>
      </c>
      <c r="AB1" s="5">
        <v>8</v>
      </c>
      <c r="AC1" s="67" t="s">
        <v>62</v>
      </c>
      <c r="AD1" s="67" t="s">
        <v>61</v>
      </c>
      <c r="AE1" s="69">
        <v>1</v>
      </c>
      <c r="AF1" s="69">
        <v>2</v>
      </c>
      <c r="AG1" s="69">
        <v>3</v>
      </c>
      <c r="AH1" s="69" t="s">
        <v>108</v>
      </c>
      <c r="AI1" s="69" t="s">
        <v>109</v>
      </c>
      <c r="AJ1" s="69" t="s">
        <v>110</v>
      </c>
      <c r="AK1" s="69" t="s">
        <v>111</v>
      </c>
      <c r="AL1" s="5">
        <v>1</v>
      </c>
      <c r="AM1" s="5">
        <v>2</v>
      </c>
      <c r="AN1" s="5">
        <v>3</v>
      </c>
      <c r="AO1" s="5">
        <v>1</v>
      </c>
      <c r="AP1" s="5">
        <v>2</v>
      </c>
      <c r="AQ1" s="5">
        <v>3</v>
      </c>
    </row>
    <row r="2" spans="1:43" ht="12.75">
      <c r="A2" s="51">
        <f>Teams!A2</f>
        <v>1</v>
      </c>
      <c r="B2" s="51">
        <f>Teams!C2</f>
        <v>353</v>
      </c>
      <c r="C2" s="51" t="str">
        <f>Teams!B2</f>
        <v>The Cyborgs</v>
      </c>
      <c r="D2" s="65">
        <f>IF(ISNA(Q2),"",Q2)</f>
        <v>152</v>
      </c>
      <c r="E2" s="65">
        <f aca="true" t="shared" si="0" ref="E2:J2">IF(ISNA(R2),"",R2)</f>
        <v>122</v>
      </c>
      <c r="F2" s="65">
        <f t="shared" si="0"/>
        <v>150</v>
      </c>
      <c r="G2" s="65">
        <f t="shared" si="0"/>
      </c>
      <c r="H2" s="65">
        <f t="shared" si="0"/>
      </c>
      <c r="I2" s="65">
        <f t="shared" si="0"/>
      </c>
      <c r="J2" s="65">
        <f t="shared" si="0"/>
      </c>
      <c r="K2" s="66">
        <f>MAX(D2:J2)</f>
        <v>152</v>
      </c>
      <c r="L2" s="51">
        <f>RANK(AC2,AC$2:AC$31)</f>
        <v>1</v>
      </c>
      <c r="M2" s="51">
        <f>RANK(AD2,AD$2:AD$31)</f>
        <v>1</v>
      </c>
      <c r="N2" s="51">
        <f>COUNT(D2:J2)</f>
        <v>3</v>
      </c>
      <c r="Q2">
        <f>INDEX('Score List'!$D$4:$D$198,MATCH($A2&amp;"R"&amp;Q$1,'Score List'!$T$4:$T$198,0),1)</f>
        <v>152</v>
      </c>
      <c r="R2">
        <f>INDEX('Score List'!$D$4:$D$198,MATCH($A2&amp;"R"&amp;R$1,'Score List'!$T$4:$T$198,0),1)</f>
        <v>122</v>
      </c>
      <c r="S2">
        <f>INDEX('Score List'!$D$4:$D$198,MATCH($A2&amp;"R"&amp;S$1,'Score List'!$T$4:$T$198,0),1)</f>
        <v>150</v>
      </c>
      <c r="T2" t="e">
        <f>INDEX('Score List'!$D$4:$D$198,MATCH($A2&amp;"R"&amp;T$1,'Score List'!$T$4:$T$198,0),1)</f>
        <v>#N/A</v>
      </c>
      <c r="U2" t="e">
        <f>INDEX('Score List'!$D$4:$D$198,MATCH($A2&amp;"R"&amp;U$1,'Score List'!$T$4:$T$198,0),1)</f>
        <v>#N/A</v>
      </c>
      <c r="V2" t="e">
        <f>INDEX('Score List'!$D$4:$D$198,MATCH($A2&amp;"R"&amp;V$1,'Score List'!$T$4:$T$198,0),1)</f>
        <v>#N/A</v>
      </c>
      <c r="W2" t="e">
        <f>INDEX('Score List'!$D$4:$D$198,MATCH($A2&amp;"R"&amp;W$1,'Score List'!$T$4:$T$198,0),1)</f>
        <v>#N/A</v>
      </c>
      <c r="X2" s="71" t="str">
        <f>TEXT(IF(COUNT($D2:$J2)&gt;=X$1,LARGE($D2:$J2,X$1),0),"000")</f>
        <v>152</v>
      </c>
      <c r="Y2" s="71" t="str">
        <f>TEXT(IF(COUNT($D2:$J2)&gt;=Y$1,LARGE($D2:$J2,Y$1),0),"000")</f>
        <v>150</v>
      </c>
      <c r="Z2" s="71" t="str">
        <f>TEXT(IF(COUNT($D2:$J2)&gt;=Z$1,LARGE($D2:$J2,Z$1),0),"000")</f>
        <v>122</v>
      </c>
      <c r="AA2" s="71" t="str">
        <f>TEXT(IF(COUNT($D2:$J2)&gt;=AA$1,LARGE($D2:$J2,AA$1),0),"000")</f>
        <v>000</v>
      </c>
      <c r="AB2" s="71" t="str">
        <f>TEXT(100-A2,"00")</f>
        <v>99</v>
      </c>
      <c r="AC2" s="72">
        <f>VALUE(X2&amp;Y2&amp;Z2&amp;AA2)</f>
        <v>152150122000</v>
      </c>
      <c r="AD2" s="72">
        <f>VALUE(X2&amp;Y2&amp;Z2&amp;AA2&amp;AB2)</f>
        <v>15215012200099</v>
      </c>
      <c r="AE2" s="51">
        <f>IF(ISNUMBER(Q2),Q2,TEXT(AH2,"H:MM AM/PM"))</f>
        <v>152</v>
      </c>
      <c r="AF2" s="51">
        <f>IF(ISNUMBER(R2),R2,TEXT(AI2,"H:MM AM/PM"))</f>
        <v>122</v>
      </c>
      <c r="AG2" s="51">
        <f>IF(ISNUMBER(S2),S2,TEXT(AJ2,"H:MM AM/PM"))</f>
        <v>150</v>
      </c>
      <c r="AH2" s="122">
        <f>INDEX('Match Schedule'!$C$11:$C92,IF(ISNUMBER(AL2),AL2,AO2),1)</f>
        <v>0.6180555555555554</v>
      </c>
      <c r="AI2" s="122">
        <f>INDEX('Match Schedule'!$C$11:$C92,IF(ISNUMBER(AM2),AM2,AP2),1)</f>
        <v>0.6493055555555552</v>
      </c>
      <c r="AJ2" s="122">
        <f>INDEX('Match Schedule'!$C$11:$C92,IF(ISNUMBER(AN2),AN2,AQ2),1)</f>
        <v>0.6666666666666663</v>
      </c>
      <c r="AK2" s="122">
        <f>IF(ISNUMBER(Y2),IF(ISNUMBER(Z2),IF(ISNUMBER(AA2),"",AJ2),AI2),AH2)</f>
        <v>0.6180555555555554</v>
      </c>
      <c r="AL2" s="5">
        <f>MATCH($A2&amp;"R"&amp;AL$1,'Match Schedule'!$O$11:$O$92,0)</f>
        <v>13</v>
      </c>
      <c r="AM2" s="5" t="e">
        <f>MATCH($A2&amp;"R"&amp;AM$1,'Match Schedule'!$O$11:$O$92,0)</f>
        <v>#N/A</v>
      </c>
      <c r="AN2" s="5" t="e">
        <f>MATCH($A2&amp;"R"&amp;AN$1,'Match Schedule'!$O$11:$O$92,0)</f>
        <v>#N/A</v>
      </c>
      <c r="AO2" s="5" t="e">
        <f>MATCH($A2&amp;"R"&amp;AO$1,'Match Schedule'!$P$11:$P$92,0)</f>
        <v>#N/A</v>
      </c>
      <c r="AP2" s="5">
        <f>MATCH($A2&amp;"R"&amp;AP$1,'Match Schedule'!$P$11:$P$92,0)</f>
        <v>20</v>
      </c>
      <c r="AQ2" s="5">
        <f>MATCH($A2&amp;"R"&amp;AQ$1,'Match Schedule'!$P$11:$P$92,0)</f>
        <v>25</v>
      </c>
    </row>
    <row r="3" spans="1:43" ht="12.75">
      <c r="A3" s="51">
        <f>Teams!A3</f>
        <v>2</v>
      </c>
      <c r="B3" s="51">
        <f>Teams!C3</f>
        <v>3583</v>
      </c>
      <c r="C3" s="51" t="str">
        <f>Teams!B3</f>
        <v>Mat Scientists</v>
      </c>
      <c r="D3" s="65">
        <f aca="true" t="shared" si="1" ref="D3:D30">IF(ISNA(Q3),"",Q3)</f>
        <v>110</v>
      </c>
      <c r="E3" s="65">
        <f aca="true" t="shared" si="2" ref="E3:E30">IF(ISNA(R3),"",R3)</f>
        <v>107</v>
      </c>
      <c r="F3" s="65">
        <f aca="true" t="shared" si="3" ref="F3:F30">IF(ISNA(S3),"",S3)</f>
        <v>112</v>
      </c>
      <c r="G3" s="65">
        <f aca="true" t="shared" si="4" ref="G3:G30">IF(ISNA(T3),"",T3)</f>
      </c>
      <c r="H3" s="65">
        <f aca="true" t="shared" si="5" ref="H3:H30">IF(ISNA(U3),"",U3)</f>
      </c>
      <c r="I3" s="65">
        <f aca="true" t="shared" si="6" ref="I3:I30">IF(ISNA(V3),"",V3)</f>
      </c>
      <c r="J3" s="65">
        <f aca="true" t="shared" si="7" ref="J3:J30">IF(ISNA(W3),"",W3)</f>
      </c>
      <c r="K3" s="66">
        <f aca="true" t="shared" si="8" ref="K3:K31">MAX(D3:J3)</f>
        <v>112</v>
      </c>
      <c r="L3" s="51">
        <f aca="true" t="shared" si="9" ref="L3:L31">RANK(AC3,AC$2:AC$31)</f>
        <v>11</v>
      </c>
      <c r="M3" s="51">
        <f aca="true" t="shared" si="10" ref="M3:M31">RANK(AD3,AD$2:AD$31)</f>
        <v>11</v>
      </c>
      <c r="N3" s="51">
        <f aca="true" t="shared" si="11" ref="N3:N31">COUNT(D3:J3)</f>
        <v>3</v>
      </c>
      <c r="Q3">
        <f>INDEX('Score List'!$D$4:$D$198,MATCH($A3&amp;"R"&amp;Q$1,'Score List'!$T$4:$T$198,0),1)</f>
        <v>110</v>
      </c>
      <c r="R3">
        <f>INDEX('Score List'!$D$4:$D$198,MATCH($A3&amp;"R"&amp;R$1,'Score List'!$T$4:$T$198,0),1)</f>
        <v>107</v>
      </c>
      <c r="S3">
        <f>INDEX('Score List'!$D$4:$D$198,MATCH($A3&amp;"R"&amp;S$1,'Score List'!$T$4:$T$198,0),1)</f>
        <v>112</v>
      </c>
      <c r="T3" t="e">
        <f>INDEX('Score List'!$D$4:$D$198,MATCH($A3&amp;"R"&amp;T$1,'Score List'!$T$4:$T$198,0),1)</f>
        <v>#N/A</v>
      </c>
      <c r="U3" t="e">
        <f>INDEX('Score List'!$D$4:$D$198,MATCH($A3&amp;"R"&amp;U$1,'Score List'!$T$4:$T$198,0),1)</f>
        <v>#N/A</v>
      </c>
      <c r="V3" t="e">
        <f>INDEX('Score List'!$D$4:$D$198,MATCH($A3&amp;"R"&amp;V$1,'Score List'!$T$4:$T$198,0),1)</f>
        <v>#N/A</v>
      </c>
      <c r="W3" t="e">
        <f>INDEX('Score List'!$D$4:$D$198,MATCH($A3&amp;"R"&amp;W$1,'Score List'!$T$4:$T$198,0),1)</f>
        <v>#N/A</v>
      </c>
      <c r="X3" s="71" t="str">
        <f aca="true" t="shared" si="12" ref="X3:AA31">TEXT(IF(COUNT($D3:$J3)&gt;=X$1,LARGE($D3:$J3,X$1),0),"000")</f>
        <v>112</v>
      </c>
      <c r="Y3" s="71" t="str">
        <f t="shared" si="12"/>
        <v>110</v>
      </c>
      <c r="Z3" s="71" t="str">
        <f t="shared" si="12"/>
        <v>107</v>
      </c>
      <c r="AA3" s="71" t="str">
        <f t="shared" si="12"/>
        <v>000</v>
      </c>
      <c r="AB3" s="71" t="str">
        <f aca="true" t="shared" si="13" ref="AB3:AB31">TEXT(100-A3,"00")</f>
        <v>98</v>
      </c>
      <c r="AC3" s="72">
        <f aca="true" t="shared" si="14" ref="AC3:AC31">VALUE(X3&amp;Y3&amp;Z3&amp;AA3)</f>
        <v>112110107000</v>
      </c>
      <c r="AD3" s="72">
        <f aca="true" t="shared" si="15" ref="AD3:AD31">VALUE(X3&amp;Y3&amp;Z3&amp;AA3&amp;AB3)</f>
        <v>11211010700098</v>
      </c>
      <c r="AE3" s="51">
        <f aca="true" t="shared" si="16" ref="AE3:AE31">IF(ISNUMBER(Q3),Q3,TEXT(AH3,"H:MM AM/PM"))</f>
        <v>110</v>
      </c>
      <c r="AF3" s="51">
        <f aca="true" t="shared" si="17" ref="AF3:AF31">IF(ISNUMBER(R3),R3,TEXT(AI3,"H:MM AM/PM"))</f>
        <v>107</v>
      </c>
      <c r="AG3" s="51">
        <f aca="true" t="shared" si="18" ref="AG3:AG31">IF(ISNUMBER(S3),S3,TEXT(AJ3,"H:MM AM/PM"))</f>
        <v>112</v>
      </c>
      <c r="AH3" s="122">
        <f>INDEX('Match Schedule'!$C$11:$C93,IF(ISNUMBER(AL3),AL3,AO3),1)</f>
        <v>0.6180555555555554</v>
      </c>
      <c r="AI3" s="122">
        <f>INDEX('Match Schedule'!$C$11:$C93,IF(ISNUMBER(AM3),AM3,AP3),1)</f>
        <v>0.645833333333333</v>
      </c>
      <c r="AJ3" s="122">
        <f>INDEX('Match Schedule'!$C$11:$C93,IF(ISNUMBER(AN3),AN3,AQ3),1)</f>
        <v>0.6701388888888885</v>
      </c>
      <c r="AK3" s="122">
        <f aca="true" t="shared" si="19" ref="AK3:AK31">IF(ISNUMBER(Y3),IF(ISNUMBER(Z3),IF(ISNUMBER(AA3),"",AJ3),AI3),AH3)</f>
        <v>0.6180555555555554</v>
      </c>
      <c r="AL3" s="5" t="e">
        <f>MATCH($A3&amp;"R"&amp;AL$1,'Match Schedule'!$O$11:$O$92,0)</f>
        <v>#N/A</v>
      </c>
      <c r="AM3" s="5" t="e">
        <f>MATCH($A3&amp;"R"&amp;AM$1,'Match Schedule'!$O$11:$O$92,0)</f>
        <v>#N/A</v>
      </c>
      <c r="AN3" s="5">
        <f>MATCH($A3&amp;"R"&amp;AN$1,'Match Schedule'!$O$11:$O$92,0)</f>
        <v>26</v>
      </c>
      <c r="AO3" s="5">
        <f>MATCH($A3&amp;"R"&amp;AO$1,'Match Schedule'!$P$11:$P$92,0)</f>
        <v>13</v>
      </c>
      <c r="AP3" s="5">
        <f>MATCH($A3&amp;"R"&amp;AP$1,'Match Schedule'!$P$11:$P$92,0)</f>
        <v>19</v>
      </c>
      <c r="AQ3" s="5" t="e">
        <f>MATCH($A3&amp;"R"&amp;AQ$1,'Match Schedule'!$P$11:$P$92,0)</f>
        <v>#N/A</v>
      </c>
    </row>
    <row r="4" spans="1:43" ht="12.75">
      <c r="A4" s="51">
        <f>Teams!A4</f>
        <v>3</v>
      </c>
      <c r="B4" s="51">
        <f>Teams!C4</f>
        <v>8717</v>
      </c>
      <c r="C4" s="51" t="str">
        <f>Teams!B4</f>
        <v>Robotic Ravioli</v>
      </c>
      <c r="D4" s="65">
        <f t="shared" si="1"/>
        <v>132</v>
      </c>
      <c r="E4" s="65">
        <f t="shared" si="2"/>
        <v>92</v>
      </c>
      <c r="F4" s="65">
        <f t="shared" si="3"/>
        <v>133</v>
      </c>
      <c r="G4" s="65">
        <f t="shared" si="4"/>
      </c>
      <c r="H4" s="65">
        <f t="shared" si="5"/>
      </c>
      <c r="I4" s="65">
        <f t="shared" si="6"/>
      </c>
      <c r="J4" s="65">
        <f t="shared" si="7"/>
      </c>
      <c r="K4" s="66">
        <f t="shared" si="8"/>
        <v>133</v>
      </c>
      <c r="L4" s="51">
        <f t="shared" si="9"/>
        <v>6</v>
      </c>
      <c r="M4" s="51">
        <f t="shared" si="10"/>
        <v>6</v>
      </c>
      <c r="N4" s="51">
        <f t="shared" si="11"/>
        <v>3</v>
      </c>
      <c r="Q4">
        <f>INDEX('Score List'!$D$4:$D$198,MATCH($A4&amp;"R"&amp;Q$1,'Score List'!$T$4:$T$198,0),1)</f>
        <v>132</v>
      </c>
      <c r="R4">
        <f>INDEX('Score List'!$D$4:$D$198,MATCH($A4&amp;"R"&amp;R$1,'Score List'!$T$4:$T$198,0),1)</f>
        <v>92</v>
      </c>
      <c r="S4">
        <f>INDEX('Score List'!$D$4:$D$198,MATCH($A4&amp;"R"&amp;S$1,'Score List'!$T$4:$T$198,0),1)</f>
        <v>133</v>
      </c>
      <c r="T4" t="e">
        <f>INDEX('Score List'!$D$4:$D$198,MATCH($A4&amp;"R"&amp;T$1,'Score List'!$T$4:$T$198,0),1)</f>
        <v>#N/A</v>
      </c>
      <c r="U4" t="e">
        <f>INDEX('Score List'!$D$4:$D$198,MATCH($A4&amp;"R"&amp;U$1,'Score List'!$T$4:$T$198,0),1)</f>
        <v>#N/A</v>
      </c>
      <c r="V4" t="e">
        <f>INDEX('Score List'!$D$4:$D$198,MATCH($A4&amp;"R"&amp;V$1,'Score List'!$T$4:$T$198,0),1)</f>
        <v>#N/A</v>
      </c>
      <c r="W4" t="e">
        <f>INDEX('Score List'!$D$4:$D$198,MATCH($A4&amp;"R"&amp;W$1,'Score List'!$T$4:$T$198,0),1)</f>
        <v>#N/A</v>
      </c>
      <c r="X4" s="71" t="str">
        <f t="shared" si="12"/>
        <v>133</v>
      </c>
      <c r="Y4" s="71" t="str">
        <f t="shared" si="12"/>
        <v>132</v>
      </c>
      <c r="Z4" s="71" t="str">
        <f t="shared" si="12"/>
        <v>092</v>
      </c>
      <c r="AA4" s="71" t="str">
        <f t="shared" si="12"/>
        <v>000</v>
      </c>
      <c r="AB4" s="71" t="str">
        <f t="shared" si="13"/>
        <v>97</v>
      </c>
      <c r="AC4" s="72">
        <f t="shared" si="14"/>
        <v>133132092000</v>
      </c>
      <c r="AD4" s="72">
        <f t="shared" si="15"/>
        <v>13313209200097</v>
      </c>
      <c r="AE4" s="51">
        <f t="shared" si="16"/>
        <v>132</v>
      </c>
      <c r="AF4" s="51">
        <f t="shared" si="17"/>
        <v>92</v>
      </c>
      <c r="AG4" s="51">
        <f t="shared" si="18"/>
        <v>133</v>
      </c>
      <c r="AH4" s="122">
        <f>INDEX('Match Schedule'!$C$11:$C94,IF(ISNUMBER(AL4),AL4,AO4),1)</f>
        <v>0.6215277777777776</v>
      </c>
      <c r="AI4" s="122">
        <f>INDEX('Match Schedule'!$C$11:$C94,IF(ISNUMBER(AM4),AM4,AP4),1)</f>
        <v>0.6493055555555552</v>
      </c>
      <c r="AJ4" s="122">
        <f>INDEX('Match Schedule'!$C$11:$C94,IF(ISNUMBER(AN4),AN4,AQ4),1)</f>
        <v>0.6701388888888885</v>
      </c>
      <c r="AK4" s="122">
        <f t="shared" si="19"/>
        <v>0.6215277777777776</v>
      </c>
      <c r="AL4" s="5">
        <f>MATCH($A4&amp;"R"&amp;AL$1,'Match Schedule'!$O$11:$O$92,0)</f>
        <v>14</v>
      </c>
      <c r="AM4" s="5">
        <f>MATCH($A4&amp;"R"&amp;AM$1,'Match Schedule'!$O$11:$O$92,0)</f>
        <v>20</v>
      </c>
      <c r="AN4" s="5" t="e">
        <f>MATCH($A4&amp;"R"&amp;AN$1,'Match Schedule'!$O$11:$O$92,0)</f>
        <v>#N/A</v>
      </c>
      <c r="AO4" s="5" t="e">
        <f>MATCH($A4&amp;"R"&amp;AO$1,'Match Schedule'!$P$11:$P$92,0)</f>
        <v>#N/A</v>
      </c>
      <c r="AP4" s="5" t="e">
        <f>MATCH($A4&amp;"R"&amp;AP$1,'Match Schedule'!$P$11:$P$92,0)</f>
        <v>#N/A</v>
      </c>
      <c r="AQ4" s="5">
        <f>MATCH($A4&amp;"R"&amp;AQ$1,'Match Schedule'!$P$11:$P$92,0)</f>
        <v>26</v>
      </c>
    </row>
    <row r="5" spans="1:43" ht="12.75">
      <c r="A5" s="51">
        <f>Teams!A5</f>
        <v>4</v>
      </c>
      <c r="B5" s="51">
        <f>Teams!C5</f>
        <v>8043</v>
      </c>
      <c r="C5" s="51" t="str">
        <f>Teams!B5</f>
        <v>MINITW</v>
      </c>
      <c r="D5" s="65">
        <f t="shared" si="1"/>
        <v>99</v>
      </c>
      <c r="E5" s="65">
        <f t="shared" si="2"/>
        <v>109</v>
      </c>
      <c r="F5" s="65">
        <f t="shared" si="3"/>
        <v>89</v>
      </c>
      <c r="G5" s="65">
        <f t="shared" si="4"/>
      </c>
      <c r="H5" s="65">
        <f t="shared" si="5"/>
      </c>
      <c r="I5" s="65">
        <f t="shared" si="6"/>
      </c>
      <c r="J5" s="65">
        <f t="shared" si="7"/>
      </c>
      <c r="K5" s="66">
        <f t="shared" si="8"/>
        <v>109</v>
      </c>
      <c r="L5" s="51">
        <f t="shared" si="9"/>
        <v>13</v>
      </c>
      <c r="M5" s="51">
        <f t="shared" si="10"/>
        <v>13</v>
      </c>
      <c r="N5" s="51">
        <f t="shared" si="11"/>
        <v>3</v>
      </c>
      <c r="Q5">
        <f>INDEX('Score List'!$D$4:$D$198,MATCH($A5&amp;"R"&amp;Q$1,'Score List'!$T$4:$T$198,0),1)</f>
        <v>99</v>
      </c>
      <c r="R5">
        <f>INDEX('Score List'!$D$4:$D$198,MATCH($A5&amp;"R"&amp;R$1,'Score List'!$T$4:$T$198,0),1)</f>
        <v>109</v>
      </c>
      <c r="S5">
        <f>INDEX('Score List'!$D$4:$D$198,MATCH($A5&amp;"R"&amp;S$1,'Score List'!$T$4:$T$198,0),1)</f>
        <v>89</v>
      </c>
      <c r="T5" t="e">
        <f>INDEX('Score List'!$D$4:$D$198,MATCH($A5&amp;"R"&amp;T$1,'Score List'!$T$4:$T$198,0),1)</f>
        <v>#N/A</v>
      </c>
      <c r="U5" t="e">
        <f>INDEX('Score List'!$D$4:$D$198,MATCH($A5&amp;"R"&amp;U$1,'Score List'!$T$4:$T$198,0),1)</f>
        <v>#N/A</v>
      </c>
      <c r="V5" t="e">
        <f>INDEX('Score List'!$D$4:$D$198,MATCH($A5&amp;"R"&amp;V$1,'Score List'!$T$4:$T$198,0),1)</f>
        <v>#N/A</v>
      </c>
      <c r="W5" t="e">
        <f>INDEX('Score List'!$D$4:$D$198,MATCH($A5&amp;"R"&amp;W$1,'Score List'!$T$4:$T$198,0),1)</f>
        <v>#N/A</v>
      </c>
      <c r="X5" s="71" t="str">
        <f t="shared" si="12"/>
        <v>109</v>
      </c>
      <c r="Y5" s="71" t="str">
        <f t="shared" si="12"/>
        <v>099</v>
      </c>
      <c r="Z5" s="71" t="str">
        <f t="shared" si="12"/>
        <v>089</v>
      </c>
      <c r="AA5" s="71" t="str">
        <f t="shared" si="12"/>
        <v>000</v>
      </c>
      <c r="AB5" s="71" t="str">
        <f t="shared" si="13"/>
        <v>96</v>
      </c>
      <c r="AC5" s="72">
        <f t="shared" si="14"/>
        <v>109099089000</v>
      </c>
      <c r="AD5" s="72">
        <f t="shared" si="15"/>
        <v>10909908900096</v>
      </c>
      <c r="AE5" s="51">
        <f t="shared" si="16"/>
        <v>99</v>
      </c>
      <c r="AF5" s="51">
        <f t="shared" si="17"/>
        <v>109</v>
      </c>
      <c r="AG5" s="51">
        <f t="shared" si="18"/>
        <v>89</v>
      </c>
      <c r="AH5" s="122">
        <f>INDEX('Match Schedule'!$C$11:$C95,IF(ISNUMBER(AL5),AL5,AO5),1)</f>
        <v>0.6215277777777776</v>
      </c>
      <c r="AI5" s="122">
        <f>INDEX('Match Schedule'!$C$11:$C95,IF(ISNUMBER(AM5),AM5,AP5),1)</f>
        <v>0.645833333333333</v>
      </c>
      <c r="AJ5" s="122">
        <f>INDEX('Match Schedule'!$C$11:$C95,IF(ISNUMBER(AN5),AN5,AQ5),1)</f>
        <v>0.6666666666666663</v>
      </c>
      <c r="AK5" s="122">
        <f t="shared" si="19"/>
        <v>0.6215277777777776</v>
      </c>
      <c r="AL5" s="5" t="e">
        <f>MATCH($A5&amp;"R"&amp;AL$1,'Match Schedule'!$O$11:$O$92,0)</f>
        <v>#N/A</v>
      </c>
      <c r="AM5" s="5">
        <f>MATCH($A5&amp;"R"&amp;AM$1,'Match Schedule'!$O$11:$O$92,0)</f>
        <v>19</v>
      </c>
      <c r="AN5" s="5">
        <f>MATCH($A5&amp;"R"&amp;AN$1,'Match Schedule'!$O$11:$O$92,0)</f>
        <v>25</v>
      </c>
      <c r="AO5" s="5">
        <f>MATCH($A5&amp;"R"&amp;AO$1,'Match Schedule'!$P$11:$P$92,0)</f>
        <v>14</v>
      </c>
      <c r="AP5" s="5" t="e">
        <f>MATCH($A5&amp;"R"&amp;AP$1,'Match Schedule'!$P$11:$P$92,0)</f>
        <v>#N/A</v>
      </c>
      <c r="AQ5" s="5" t="e">
        <f>MATCH($A5&amp;"R"&amp;AQ$1,'Match Schedule'!$P$11:$P$92,0)</f>
        <v>#N/A</v>
      </c>
    </row>
    <row r="6" spans="1:43" ht="12.75">
      <c r="A6" s="51">
        <f>Teams!A6</f>
        <v>5</v>
      </c>
      <c r="B6" s="51">
        <f>Teams!C6</f>
        <v>7940</v>
      </c>
      <c r="C6" s="51" t="str">
        <f>Teams!B6</f>
        <v>Gears</v>
      </c>
      <c r="D6" s="65">
        <f t="shared" si="1"/>
        <v>64</v>
      </c>
      <c r="E6" s="65">
        <f t="shared" si="2"/>
        <v>63</v>
      </c>
      <c r="F6" s="65">
        <f t="shared" si="3"/>
        <v>93</v>
      </c>
      <c r="G6" s="65">
        <f t="shared" si="4"/>
      </c>
      <c r="H6" s="65">
        <f t="shared" si="5"/>
      </c>
      <c r="I6" s="65">
        <f t="shared" si="6"/>
      </c>
      <c r="J6" s="65">
        <f t="shared" si="7"/>
      </c>
      <c r="K6" s="66">
        <f t="shared" si="8"/>
        <v>93</v>
      </c>
      <c r="L6" s="51">
        <f t="shared" si="9"/>
        <v>16</v>
      </c>
      <c r="M6" s="51">
        <f t="shared" si="10"/>
        <v>16</v>
      </c>
      <c r="N6" s="51">
        <f t="shared" si="11"/>
        <v>3</v>
      </c>
      <c r="Q6">
        <f>INDEX('Score List'!$D$4:$D$198,MATCH($A6&amp;"R"&amp;Q$1,'Score List'!$T$4:$T$198,0),1)</f>
        <v>64</v>
      </c>
      <c r="R6">
        <f>INDEX('Score List'!$D$4:$D$198,MATCH($A6&amp;"R"&amp;R$1,'Score List'!$T$4:$T$198,0),1)</f>
        <v>63</v>
      </c>
      <c r="S6">
        <f>INDEX('Score List'!$D$4:$D$198,MATCH($A6&amp;"R"&amp;S$1,'Score List'!$T$4:$T$198,0),1)</f>
        <v>93</v>
      </c>
      <c r="T6" t="e">
        <f>INDEX('Score List'!$D$4:$D$198,MATCH($A6&amp;"R"&amp;T$1,'Score List'!$T$4:$T$198,0),1)</f>
        <v>#N/A</v>
      </c>
      <c r="U6" t="e">
        <f>INDEX('Score List'!$D$4:$D$198,MATCH($A6&amp;"R"&amp;U$1,'Score List'!$T$4:$T$198,0),1)</f>
        <v>#N/A</v>
      </c>
      <c r="V6" t="e">
        <f>INDEX('Score List'!$D$4:$D$198,MATCH($A6&amp;"R"&amp;V$1,'Score List'!$T$4:$T$198,0),1)</f>
        <v>#N/A</v>
      </c>
      <c r="W6" t="e">
        <f>INDEX('Score List'!$D$4:$D$198,MATCH($A6&amp;"R"&amp;W$1,'Score List'!$T$4:$T$198,0),1)</f>
        <v>#N/A</v>
      </c>
      <c r="X6" s="71" t="str">
        <f t="shared" si="12"/>
        <v>093</v>
      </c>
      <c r="Y6" s="71" t="str">
        <f t="shared" si="12"/>
        <v>064</v>
      </c>
      <c r="Z6" s="71" t="str">
        <f t="shared" si="12"/>
        <v>063</v>
      </c>
      <c r="AA6" s="71" t="str">
        <f t="shared" si="12"/>
        <v>000</v>
      </c>
      <c r="AB6" s="71" t="str">
        <f t="shared" si="13"/>
        <v>95</v>
      </c>
      <c r="AC6" s="72">
        <f t="shared" si="14"/>
        <v>93064063000</v>
      </c>
      <c r="AD6" s="72">
        <f t="shared" si="15"/>
        <v>9306406300095</v>
      </c>
      <c r="AE6" s="51">
        <f t="shared" si="16"/>
        <v>64</v>
      </c>
      <c r="AF6" s="51">
        <f t="shared" si="17"/>
        <v>63</v>
      </c>
      <c r="AG6" s="51">
        <f t="shared" si="18"/>
        <v>93</v>
      </c>
      <c r="AH6" s="122">
        <f>INDEX('Match Schedule'!$C$11:$C96,IF(ISNUMBER(AL6),AL6,AO6),1)</f>
        <v>0.5625</v>
      </c>
      <c r="AI6" s="122">
        <f>INDEX('Match Schedule'!$C$11:$C96,IF(ISNUMBER(AM6),AM6,AP6),1)</f>
        <v>0.5902777777777777</v>
      </c>
      <c r="AJ6" s="122">
        <f>INDEX('Match Schedule'!$C$11:$C96,IF(ISNUMBER(AN6),AN6,AQ6),1)</f>
        <v>0.6597222222222219</v>
      </c>
      <c r="AK6" s="122">
        <f t="shared" si="19"/>
        <v>0.5625</v>
      </c>
      <c r="AL6" s="5">
        <f>MATCH($A6&amp;"R"&amp;AL$1,'Match Schedule'!$O$11:$O$92,0)</f>
        <v>1</v>
      </c>
      <c r="AM6" s="5" t="e">
        <f>MATCH($A6&amp;"R"&amp;AM$1,'Match Schedule'!$O$11:$O$92,0)</f>
        <v>#N/A</v>
      </c>
      <c r="AN6" s="5">
        <f>MATCH($A6&amp;"R"&amp;AN$1,'Match Schedule'!$O$11:$O$92,0)</f>
        <v>23</v>
      </c>
      <c r="AO6" s="5" t="e">
        <f>MATCH($A6&amp;"R"&amp;AO$1,'Match Schedule'!$P$11:$P$92,0)</f>
        <v>#N/A</v>
      </c>
      <c r="AP6" s="5">
        <f>MATCH($A6&amp;"R"&amp;AP$1,'Match Schedule'!$P$11:$P$92,0)</f>
        <v>7</v>
      </c>
      <c r="AQ6" s="5" t="e">
        <f>MATCH($A6&amp;"R"&amp;AQ$1,'Match Schedule'!$P$11:$P$92,0)</f>
        <v>#N/A</v>
      </c>
    </row>
    <row r="7" spans="1:43" ht="12.75">
      <c r="A7" s="51">
        <f>Teams!A7</f>
        <v>6</v>
      </c>
      <c r="B7" s="51">
        <f>Teams!C7</f>
        <v>8947</v>
      </c>
      <c r="C7" s="51" t="str">
        <f>Teams!B7</f>
        <v>40 Loyola SAPlings</v>
      </c>
      <c r="D7" s="65">
        <f t="shared" si="1"/>
        <v>103</v>
      </c>
      <c r="E7" s="65">
        <f t="shared" si="2"/>
        <v>87</v>
      </c>
      <c r="F7" s="65">
        <f t="shared" si="3"/>
        <v>124</v>
      </c>
      <c r="G7" s="65">
        <f t="shared" si="4"/>
      </c>
      <c r="H7" s="65">
        <f t="shared" si="5"/>
      </c>
      <c r="I7" s="65">
        <f t="shared" si="6"/>
      </c>
      <c r="J7" s="65">
        <f t="shared" si="7"/>
      </c>
      <c r="K7" s="66">
        <f t="shared" si="8"/>
        <v>124</v>
      </c>
      <c r="L7" s="51">
        <f t="shared" si="9"/>
        <v>8</v>
      </c>
      <c r="M7" s="51">
        <f t="shared" si="10"/>
        <v>8</v>
      </c>
      <c r="N7" s="51">
        <f t="shared" si="11"/>
        <v>3</v>
      </c>
      <c r="Q7">
        <f>INDEX('Score List'!$D$4:$D$198,MATCH($A7&amp;"R"&amp;Q$1,'Score List'!$T$4:$T$198,0),1)</f>
        <v>103</v>
      </c>
      <c r="R7">
        <f>INDEX('Score List'!$D$4:$D$198,MATCH($A7&amp;"R"&amp;R$1,'Score List'!$T$4:$T$198,0),1)</f>
        <v>87</v>
      </c>
      <c r="S7">
        <f>INDEX('Score List'!$D$4:$D$198,MATCH($A7&amp;"R"&amp;S$1,'Score List'!$T$4:$T$198,0),1)</f>
        <v>124</v>
      </c>
      <c r="T7" t="e">
        <f>INDEX('Score List'!$D$4:$D$198,MATCH($A7&amp;"R"&amp;T$1,'Score List'!$T$4:$T$198,0),1)</f>
        <v>#N/A</v>
      </c>
      <c r="U7" t="e">
        <f>INDEX('Score List'!$D$4:$D$198,MATCH($A7&amp;"R"&amp;U$1,'Score List'!$T$4:$T$198,0),1)</f>
        <v>#N/A</v>
      </c>
      <c r="V7" t="e">
        <f>INDEX('Score List'!$D$4:$D$198,MATCH($A7&amp;"R"&amp;V$1,'Score List'!$T$4:$T$198,0),1)</f>
        <v>#N/A</v>
      </c>
      <c r="W7" t="e">
        <f>INDEX('Score List'!$D$4:$D$198,MATCH($A7&amp;"R"&amp;W$1,'Score List'!$T$4:$T$198,0),1)</f>
        <v>#N/A</v>
      </c>
      <c r="X7" s="71" t="str">
        <f t="shared" si="12"/>
        <v>124</v>
      </c>
      <c r="Y7" s="71" t="str">
        <f t="shared" si="12"/>
        <v>103</v>
      </c>
      <c r="Z7" s="71" t="str">
        <f t="shared" si="12"/>
        <v>087</v>
      </c>
      <c r="AA7" s="71" t="str">
        <f t="shared" si="12"/>
        <v>000</v>
      </c>
      <c r="AB7" s="71" t="str">
        <f t="shared" si="13"/>
        <v>94</v>
      </c>
      <c r="AC7" s="72">
        <f t="shared" si="14"/>
        <v>124103087000</v>
      </c>
      <c r="AD7" s="72">
        <f t="shared" si="15"/>
        <v>12410308700094</v>
      </c>
      <c r="AE7" s="51">
        <f t="shared" si="16"/>
        <v>103</v>
      </c>
      <c r="AF7" s="51">
        <f t="shared" si="17"/>
        <v>87</v>
      </c>
      <c r="AG7" s="51">
        <f t="shared" si="18"/>
        <v>124</v>
      </c>
      <c r="AH7" s="122">
        <f>INDEX('Match Schedule'!$C$11:$C97,IF(ISNUMBER(AL7),AL7,AO7),1)</f>
        <v>0.5625</v>
      </c>
      <c r="AI7" s="122">
        <f>INDEX('Match Schedule'!$C$11:$C97,IF(ISNUMBER(AM7),AM7,AP7),1)</f>
        <v>0.59375</v>
      </c>
      <c r="AJ7" s="122">
        <f>INDEX('Match Schedule'!$C$11:$C97,IF(ISNUMBER(AN7),AN7,AQ7),1)</f>
        <v>0.6631944444444441</v>
      </c>
      <c r="AK7" s="122">
        <f t="shared" si="19"/>
        <v>0.5625</v>
      </c>
      <c r="AL7" s="5" t="e">
        <f>MATCH($A7&amp;"R"&amp;AL$1,'Match Schedule'!$O$11:$O$92,0)</f>
        <v>#N/A</v>
      </c>
      <c r="AM7" s="5" t="e">
        <f>MATCH($A7&amp;"R"&amp;AM$1,'Match Schedule'!$O$11:$O$92,0)</f>
        <v>#N/A</v>
      </c>
      <c r="AN7" s="5">
        <f>MATCH($A7&amp;"R"&amp;AN$1,'Match Schedule'!$O$11:$O$92,0)</f>
        <v>24</v>
      </c>
      <c r="AO7" s="5">
        <f>MATCH($A7&amp;"R"&amp;AO$1,'Match Schedule'!$P$11:$P$92,0)</f>
        <v>1</v>
      </c>
      <c r="AP7" s="5">
        <f>MATCH($A7&amp;"R"&amp;AP$1,'Match Schedule'!$P$11:$P$92,0)</f>
        <v>8</v>
      </c>
      <c r="AQ7" s="5" t="e">
        <f>MATCH($A7&amp;"R"&amp;AQ$1,'Match Schedule'!$P$11:$P$92,0)</f>
        <v>#N/A</v>
      </c>
    </row>
    <row r="8" spans="1:43" ht="12.75">
      <c r="A8" s="51">
        <f>Teams!A8</f>
        <v>7</v>
      </c>
      <c r="B8" s="51">
        <f>Teams!C8</f>
        <v>6195</v>
      </c>
      <c r="C8" s="51" t="str">
        <f>Teams!B8</f>
        <v>SAP0wer4</v>
      </c>
      <c r="D8" s="65">
        <f t="shared" si="1"/>
        <v>82</v>
      </c>
      <c r="E8" s="65">
        <f t="shared" si="2"/>
        <v>135</v>
      </c>
      <c r="F8" s="65">
        <f t="shared" si="3"/>
        <v>96</v>
      </c>
      <c r="G8" s="65">
        <f t="shared" si="4"/>
      </c>
      <c r="H8" s="65">
        <f t="shared" si="5"/>
      </c>
      <c r="I8" s="65">
        <f t="shared" si="6"/>
      </c>
      <c r="J8" s="65">
        <f t="shared" si="7"/>
      </c>
      <c r="K8" s="66">
        <f t="shared" si="8"/>
        <v>135</v>
      </c>
      <c r="L8" s="51">
        <f t="shared" si="9"/>
        <v>4</v>
      </c>
      <c r="M8" s="51">
        <f t="shared" si="10"/>
        <v>4</v>
      </c>
      <c r="N8" s="51">
        <f t="shared" si="11"/>
        <v>3</v>
      </c>
      <c r="Q8">
        <f>INDEX('Score List'!$D$4:$D$198,MATCH($A8&amp;"R"&amp;Q$1,'Score List'!$T$4:$T$198,0),1)</f>
        <v>82</v>
      </c>
      <c r="R8">
        <f>INDEX('Score List'!$D$4:$D$198,MATCH($A8&amp;"R"&amp;R$1,'Score List'!$T$4:$T$198,0),1)</f>
        <v>135</v>
      </c>
      <c r="S8">
        <f>INDEX('Score List'!$D$4:$D$198,MATCH($A8&amp;"R"&amp;S$1,'Score List'!$T$4:$T$198,0),1)</f>
        <v>96</v>
      </c>
      <c r="T8" t="e">
        <f>INDEX('Score List'!$D$4:$D$198,MATCH($A8&amp;"R"&amp;T$1,'Score List'!$T$4:$T$198,0),1)</f>
        <v>#N/A</v>
      </c>
      <c r="U8" t="e">
        <f>INDEX('Score List'!$D$4:$D$198,MATCH($A8&amp;"R"&amp;U$1,'Score List'!$T$4:$T$198,0),1)</f>
        <v>#N/A</v>
      </c>
      <c r="V8" t="e">
        <f>INDEX('Score List'!$D$4:$D$198,MATCH($A8&amp;"R"&amp;V$1,'Score List'!$T$4:$T$198,0),1)</f>
        <v>#N/A</v>
      </c>
      <c r="W8" t="e">
        <f>INDEX('Score List'!$D$4:$D$198,MATCH($A8&amp;"R"&amp;W$1,'Score List'!$T$4:$T$198,0),1)</f>
        <v>#N/A</v>
      </c>
      <c r="X8" s="71" t="str">
        <f t="shared" si="12"/>
        <v>135</v>
      </c>
      <c r="Y8" s="71" t="str">
        <f t="shared" si="12"/>
        <v>096</v>
      </c>
      <c r="Z8" s="71" t="str">
        <f t="shared" si="12"/>
        <v>082</v>
      </c>
      <c r="AA8" s="71" t="str">
        <f t="shared" si="12"/>
        <v>000</v>
      </c>
      <c r="AB8" s="71" t="str">
        <f t="shared" si="13"/>
        <v>93</v>
      </c>
      <c r="AC8" s="72">
        <f t="shared" si="14"/>
        <v>135096082000</v>
      </c>
      <c r="AD8" s="72">
        <f t="shared" si="15"/>
        <v>13509608200093</v>
      </c>
      <c r="AE8" s="51">
        <f t="shared" si="16"/>
        <v>82</v>
      </c>
      <c r="AF8" s="51">
        <f t="shared" si="17"/>
        <v>135</v>
      </c>
      <c r="AG8" s="51">
        <f t="shared" si="18"/>
        <v>96</v>
      </c>
      <c r="AH8" s="122">
        <f>INDEX('Match Schedule'!$C$11:$C98,IF(ISNUMBER(AL8),AL8,AO8),1)</f>
        <v>0.5659722222222222</v>
      </c>
      <c r="AI8" s="122">
        <f>INDEX('Match Schedule'!$C$11:$C98,IF(ISNUMBER(AM8),AM8,AP8),1)</f>
        <v>0.5902777777777777</v>
      </c>
      <c r="AJ8" s="122">
        <f>INDEX('Match Schedule'!$C$11:$C98,IF(ISNUMBER(AN8),AN8,AQ8),1)</f>
        <v>0.6631944444444441</v>
      </c>
      <c r="AK8" s="122">
        <f t="shared" si="19"/>
        <v>0.5659722222222222</v>
      </c>
      <c r="AL8" s="5">
        <f>MATCH($A8&amp;"R"&amp;AL$1,'Match Schedule'!$O$11:$O$92,0)</f>
        <v>2</v>
      </c>
      <c r="AM8" s="5">
        <f>MATCH($A8&amp;"R"&amp;AM$1,'Match Schedule'!$O$11:$O$92,0)</f>
        <v>7</v>
      </c>
      <c r="AN8" s="5" t="e">
        <f>MATCH($A8&amp;"R"&amp;AN$1,'Match Schedule'!$O$11:$O$92,0)</f>
        <v>#N/A</v>
      </c>
      <c r="AO8" s="5" t="e">
        <f>MATCH($A8&amp;"R"&amp;AO$1,'Match Schedule'!$P$11:$P$92,0)</f>
        <v>#N/A</v>
      </c>
      <c r="AP8" s="5" t="e">
        <f>MATCH($A8&amp;"R"&amp;AP$1,'Match Schedule'!$P$11:$P$92,0)</f>
        <v>#N/A</v>
      </c>
      <c r="AQ8" s="5">
        <f>MATCH($A8&amp;"R"&amp;AQ$1,'Match Schedule'!$P$11:$P$92,0)</f>
        <v>24</v>
      </c>
    </row>
    <row r="9" spans="1:43" ht="12.75">
      <c r="A9" s="51">
        <f>Teams!A9</f>
        <v>8</v>
      </c>
      <c r="B9" s="51">
        <f>Teams!C9</f>
        <v>6222</v>
      </c>
      <c r="C9" s="51" t="str">
        <f>Teams!B9</f>
        <v>Adroits</v>
      </c>
      <c r="D9" s="65">
        <f t="shared" si="1"/>
        <v>93</v>
      </c>
      <c r="E9" s="65">
        <f t="shared" si="2"/>
        <v>87</v>
      </c>
      <c r="F9" s="65">
        <f t="shared" si="3"/>
        <v>107</v>
      </c>
      <c r="G9" s="65">
        <f t="shared" si="4"/>
      </c>
      <c r="H9" s="65">
        <f t="shared" si="5"/>
      </c>
      <c r="I9" s="65">
        <f t="shared" si="6"/>
      </c>
      <c r="J9" s="65">
        <f t="shared" si="7"/>
      </c>
      <c r="K9" s="66">
        <f t="shared" si="8"/>
        <v>107</v>
      </c>
      <c r="L9" s="51">
        <f t="shared" si="9"/>
        <v>14</v>
      </c>
      <c r="M9" s="51">
        <f t="shared" si="10"/>
        <v>14</v>
      </c>
      <c r="N9" s="51">
        <f t="shared" si="11"/>
        <v>3</v>
      </c>
      <c r="Q9">
        <f>INDEX('Score List'!$D$4:$D$198,MATCH($A9&amp;"R"&amp;Q$1,'Score List'!$T$4:$T$198,0),1)</f>
        <v>93</v>
      </c>
      <c r="R9">
        <f>INDEX('Score List'!$D$4:$D$198,MATCH($A9&amp;"R"&amp;R$1,'Score List'!$T$4:$T$198,0),1)</f>
        <v>87</v>
      </c>
      <c r="S9">
        <f>INDEX('Score List'!$D$4:$D$198,MATCH($A9&amp;"R"&amp;S$1,'Score List'!$T$4:$T$198,0),1)</f>
        <v>107</v>
      </c>
      <c r="T9" t="e">
        <f>INDEX('Score List'!$D$4:$D$198,MATCH($A9&amp;"R"&amp;T$1,'Score List'!$T$4:$T$198,0),1)</f>
        <v>#N/A</v>
      </c>
      <c r="U9" t="e">
        <f>INDEX('Score List'!$D$4:$D$198,MATCH($A9&amp;"R"&amp;U$1,'Score List'!$T$4:$T$198,0),1)</f>
        <v>#N/A</v>
      </c>
      <c r="V9" t="e">
        <f>INDEX('Score List'!$D$4:$D$198,MATCH($A9&amp;"R"&amp;V$1,'Score List'!$T$4:$T$198,0),1)</f>
        <v>#N/A</v>
      </c>
      <c r="W9" t="e">
        <f>INDEX('Score List'!$D$4:$D$198,MATCH($A9&amp;"R"&amp;W$1,'Score List'!$T$4:$T$198,0),1)</f>
        <v>#N/A</v>
      </c>
      <c r="X9" s="71" t="str">
        <f t="shared" si="12"/>
        <v>107</v>
      </c>
      <c r="Y9" s="71" t="str">
        <f t="shared" si="12"/>
        <v>093</v>
      </c>
      <c r="Z9" s="71" t="str">
        <f t="shared" si="12"/>
        <v>087</v>
      </c>
      <c r="AA9" s="71" t="str">
        <f t="shared" si="12"/>
        <v>000</v>
      </c>
      <c r="AB9" s="71" t="str">
        <f t="shared" si="13"/>
        <v>92</v>
      </c>
      <c r="AC9" s="72">
        <f t="shared" si="14"/>
        <v>107093087000</v>
      </c>
      <c r="AD9" s="72">
        <f t="shared" si="15"/>
        <v>10709308700092</v>
      </c>
      <c r="AE9" s="51">
        <f t="shared" si="16"/>
        <v>93</v>
      </c>
      <c r="AF9" s="51">
        <f t="shared" si="17"/>
        <v>87</v>
      </c>
      <c r="AG9" s="51">
        <f t="shared" si="18"/>
        <v>107</v>
      </c>
      <c r="AH9" s="122">
        <f>INDEX('Match Schedule'!$C$11:$C99,IF(ISNUMBER(AL9),AL9,AO9),1)</f>
        <v>0.5659722222222222</v>
      </c>
      <c r="AI9" s="122">
        <f>INDEX('Match Schedule'!$C$11:$C99,IF(ISNUMBER(AM9),AM9,AP9),1)</f>
        <v>0.59375</v>
      </c>
      <c r="AJ9" s="122">
        <f>INDEX('Match Schedule'!$C$11:$C99,IF(ISNUMBER(AN9),AN9,AQ9),1)</f>
        <v>0.628472222222222</v>
      </c>
      <c r="AK9" s="122">
        <f t="shared" si="19"/>
        <v>0.5659722222222222</v>
      </c>
      <c r="AL9" s="5" t="e">
        <f>MATCH($A9&amp;"R"&amp;AL$1,'Match Schedule'!$O$11:$O$92,0)</f>
        <v>#N/A</v>
      </c>
      <c r="AM9" s="5">
        <f>MATCH($A9&amp;"R"&amp;AM$1,'Match Schedule'!$O$11:$O$92,0)</f>
        <v>8</v>
      </c>
      <c r="AN9" s="5">
        <f>MATCH($A9&amp;"R"&amp;AN$1,'Match Schedule'!$O$11:$O$92,0)</f>
        <v>16</v>
      </c>
      <c r="AO9" s="5">
        <f>MATCH($A9&amp;"R"&amp;AO$1,'Match Schedule'!$P$11:$P$92,0)</f>
        <v>2</v>
      </c>
      <c r="AP9" s="5" t="e">
        <f>MATCH($A9&amp;"R"&amp;AP$1,'Match Schedule'!$P$11:$P$92,0)</f>
        <v>#N/A</v>
      </c>
      <c r="AQ9" s="5" t="e">
        <f>MATCH($A9&amp;"R"&amp;AQ$1,'Match Schedule'!$P$11:$P$92,0)</f>
        <v>#N/A</v>
      </c>
    </row>
    <row r="10" spans="1:43" ht="12.75">
      <c r="A10" s="51">
        <f>Teams!A10</f>
        <v>9</v>
      </c>
      <c r="B10" s="51">
        <f>Teams!C10</f>
        <v>6373</v>
      </c>
      <c r="C10" s="51" t="str">
        <f>Teams!B10</f>
        <v>Kung Food</v>
      </c>
      <c r="D10" s="65">
        <f t="shared" si="1"/>
        <v>98</v>
      </c>
      <c r="E10" s="65">
        <f t="shared" si="2"/>
        <v>114</v>
      </c>
      <c r="F10" s="65">
        <f t="shared" si="3"/>
        <v>122</v>
      </c>
      <c r="G10" s="65">
        <f t="shared" si="4"/>
      </c>
      <c r="H10" s="65">
        <f t="shared" si="5"/>
      </c>
      <c r="I10" s="65">
        <f t="shared" si="6"/>
      </c>
      <c r="J10" s="65">
        <f t="shared" si="7"/>
      </c>
      <c r="K10" s="66">
        <f t="shared" si="8"/>
        <v>122</v>
      </c>
      <c r="L10" s="51">
        <f t="shared" si="9"/>
        <v>9</v>
      </c>
      <c r="M10" s="51">
        <f t="shared" si="10"/>
        <v>9</v>
      </c>
      <c r="N10" s="51">
        <f t="shared" si="11"/>
        <v>3</v>
      </c>
      <c r="Q10">
        <f>INDEX('Score List'!$D$4:$D$198,MATCH($A10&amp;"R"&amp;Q$1,'Score List'!$T$4:$T$198,0),1)</f>
        <v>98</v>
      </c>
      <c r="R10">
        <f>INDEX('Score List'!$D$4:$D$198,MATCH($A10&amp;"R"&amp;R$1,'Score List'!$T$4:$T$198,0),1)</f>
        <v>114</v>
      </c>
      <c r="S10">
        <f>INDEX('Score List'!$D$4:$D$198,MATCH($A10&amp;"R"&amp;S$1,'Score List'!$T$4:$T$198,0),1)</f>
        <v>122</v>
      </c>
      <c r="T10" t="e">
        <f>INDEX('Score List'!$D$4:$D$198,MATCH($A10&amp;"R"&amp;T$1,'Score List'!$T$4:$T$198,0),1)</f>
        <v>#N/A</v>
      </c>
      <c r="U10" t="e">
        <f>INDEX('Score List'!$D$4:$D$198,MATCH($A10&amp;"R"&amp;U$1,'Score List'!$T$4:$T$198,0),1)</f>
        <v>#N/A</v>
      </c>
      <c r="V10" t="e">
        <f>INDEX('Score List'!$D$4:$D$198,MATCH($A10&amp;"R"&amp;V$1,'Score List'!$T$4:$T$198,0),1)</f>
        <v>#N/A</v>
      </c>
      <c r="W10" t="e">
        <f>INDEX('Score List'!$D$4:$D$198,MATCH($A10&amp;"R"&amp;W$1,'Score List'!$T$4:$T$198,0),1)</f>
        <v>#N/A</v>
      </c>
      <c r="X10" s="71" t="str">
        <f t="shared" si="12"/>
        <v>122</v>
      </c>
      <c r="Y10" s="71" t="str">
        <f t="shared" si="12"/>
        <v>114</v>
      </c>
      <c r="Z10" s="71" t="str">
        <f t="shared" si="12"/>
        <v>098</v>
      </c>
      <c r="AA10" s="71" t="str">
        <f t="shared" si="12"/>
        <v>000</v>
      </c>
      <c r="AB10" s="71" t="str">
        <f t="shared" si="13"/>
        <v>91</v>
      </c>
      <c r="AC10" s="72">
        <f t="shared" si="14"/>
        <v>122114098000</v>
      </c>
      <c r="AD10" s="72">
        <f t="shared" si="15"/>
        <v>12211409800091</v>
      </c>
      <c r="AE10" s="51">
        <f t="shared" si="16"/>
        <v>98</v>
      </c>
      <c r="AF10" s="51">
        <f t="shared" si="17"/>
        <v>114</v>
      </c>
      <c r="AG10" s="51">
        <f t="shared" si="18"/>
        <v>122</v>
      </c>
      <c r="AH10" s="122">
        <f>INDEX('Match Schedule'!$C$11:$C100,IF(ISNUMBER(AL10),AL10,AO10),1)</f>
        <v>0.5694444444444444</v>
      </c>
      <c r="AI10" s="122">
        <f>INDEX('Match Schedule'!$C$11:$C100,IF(ISNUMBER(AM10),AM10,AP10),1)</f>
        <v>0.5972222222222221</v>
      </c>
      <c r="AJ10" s="122">
        <f>INDEX('Match Schedule'!$C$11:$C100,IF(ISNUMBER(AN10),AN10,AQ10),1)</f>
        <v>0.625</v>
      </c>
      <c r="AK10" s="122">
        <f t="shared" si="19"/>
        <v>0.5694444444444444</v>
      </c>
      <c r="AL10" s="5">
        <f>MATCH($A10&amp;"R"&amp;AL$1,'Match Schedule'!$O$11:$O$92,0)</f>
        <v>3</v>
      </c>
      <c r="AM10" s="5" t="e">
        <f>MATCH($A10&amp;"R"&amp;AM$1,'Match Schedule'!$O$11:$O$92,0)</f>
        <v>#N/A</v>
      </c>
      <c r="AN10" s="5" t="e">
        <f>MATCH($A10&amp;"R"&amp;AN$1,'Match Schedule'!$O$11:$O$92,0)</f>
        <v>#N/A</v>
      </c>
      <c r="AO10" s="5" t="e">
        <f>MATCH($A10&amp;"R"&amp;AO$1,'Match Schedule'!$P$11:$P$92,0)</f>
        <v>#N/A</v>
      </c>
      <c r="AP10" s="5">
        <f>MATCH($A10&amp;"R"&amp;AP$1,'Match Schedule'!$P$11:$P$92,0)</f>
        <v>9</v>
      </c>
      <c r="AQ10" s="5">
        <f>MATCH($A10&amp;"R"&amp;AQ$1,'Match Schedule'!$P$11:$P$92,0)</f>
        <v>15</v>
      </c>
    </row>
    <row r="11" spans="1:43" ht="12.75">
      <c r="A11" s="51">
        <f>Teams!A11</f>
        <v>10</v>
      </c>
      <c r="B11" s="51">
        <f>Teams!C11</f>
        <v>7667</v>
      </c>
      <c r="C11" s="51" t="str">
        <f>Teams!B11</f>
        <v>Fantastic Lego Legion</v>
      </c>
      <c r="D11" s="65">
        <f t="shared" si="1"/>
        <v>110</v>
      </c>
      <c r="E11" s="65">
        <f t="shared" si="2"/>
        <v>112</v>
      </c>
      <c r="F11" s="65">
        <f t="shared" si="3"/>
        <v>81</v>
      </c>
      <c r="G11" s="65">
        <f t="shared" si="4"/>
      </c>
      <c r="H11" s="65">
        <f t="shared" si="5"/>
      </c>
      <c r="I11" s="65">
        <f t="shared" si="6"/>
      </c>
      <c r="J11" s="65">
        <f t="shared" si="7"/>
      </c>
      <c r="K11" s="66">
        <f t="shared" si="8"/>
        <v>112</v>
      </c>
      <c r="L11" s="51">
        <f t="shared" si="9"/>
        <v>12</v>
      </c>
      <c r="M11" s="51">
        <f t="shared" si="10"/>
        <v>12</v>
      </c>
      <c r="N11" s="51">
        <f t="shared" si="11"/>
        <v>3</v>
      </c>
      <c r="Q11">
        <f>INDEX('Score List'!$D$4:$D$198,MATCH($A11&amp;"R"&amp;Q$1,'Score List'!$T$4:$T$198,0),1)</f>
        <v>110</v>
      </c>
      <c r="R11">
        <f>INDEX('Score List'!$D$4:$D$198,MATCH($A11&amp;"R"&amp;R$1,'Score List'!$T$4:$T$198,0),1)</f>
        <v>112</v>
      </c>
      <c r="S11">
        <f>INDEX('Score List'!$D$4:$D$198,MATCH($A11&amp;"R"&amp;S$1,'Score List'!$T$4:$T$198,0),1)</f>
        <v>81</v>
      </c>
      <c r="T11" t="e">
        <f>INDEX('Score List'!$D$4:$D$198,MATCH($A11&amp;"R"&amp;T$1,'Score List'!$T$4:$T$198,0),1)</f>
        <v>#N/A</v>
      </c>
      <c r="U11" t="e">
        <f>INDEX('Score List'!$D$4:$D$198,MATCH($A11&amp;"R"&amp;U$1,'Score List'!$T$4:$T$198,0),1)</f>
        <v>#N/A</v>
      </c>
      <c r="V11" t="e">
        <f>INDEX('Score List'!$D$4:$D$198,MATCH($A11&amp;"R"&amp;V$1,'Score List'!$T$4:$T$198,0),1)</f>
        <v>#N/A</v>
      </c>
      <c r="W11" t="e">
        <f>INDEX('Score List'!$D$4:$D$198,MATCH($A11&amp;"R"&amp;W$1,'Score List'!$T$4:$T$198,0),1)</f>
        <v>#N/A</v>
      </c>
      <c r="X11" s="71" t="str">
        <f t="shared" si="12"/>
        <v>112</v>
      </c>
      <c r="Y11" s="71" t="str">
        <f t="shared" si="12"/>
        <v>110</v>
      </c>
      <c r="Z11" s="71" t="str">
        <f t="shared" si="12"/>
        <v>081</v>
      </c>
      <c r="AA11" s="71" t="str">
        <f t="shared" si="12"/>
        <v>000</v>
      </c>
      <c r="AB11" s="71" t="str">
        <f t="shared" si="13"/>
        <v>90</v>
      </c>
      <c r="AC11" s="72">
        <f t="shared" si="14"/>
        <v>112110081000</v>
      </c>
      <c r="AD11" s="72">
        <f t="shared" si="15"/>
        <v>11211008100090</v>
      </c>
      <c r="AE11" s="51">
        <f t="shared" si="16"/>
        <v>110</v>
      </c>
      <c r="AF11" s="51">
        <f t="shared" si="17"/>
        <v>112</v>
      </c>
      <c r="AG11" s="51">
        <f t="shared" si="18"/>
        <v>81</v>
      </c>
      <c r="AH11" s="122">
        <f>INDEX('Match Schedule'!$C$11:$C101,IF(ISNUMBER(AL11),AL11,AO11),1)</f>
        <v>0.5694444444444444</v>
      </c>
      <c r="AI11" s="122">
        <f>INDEX('Match Schedule'!$C$11:$C101,IF(ISNUMBER(AM11),AM11,AP11),1)</f>
        <v>0.6006944444444443</v>
      </c>
      <c r="AJ11" s="122">
        <f>INDEX('Match Schedule'!$C$11:$C101,IF(ISNUMBER(AN11),AN11,AQ11),1)</f>
        <v>0.6319444444444442</v>
      </c>
      <c r="AK11" s="122">
        <f t="shared" si="19"/>
        <v>0.5694444444444444</v>
      </c>
      <c r="AL11" s="5" t="e">
        <f>MATCH($A11&amp;"R"&amp;AL$1,'Match Schedule'!$O$11:$O$92,0)</f>
        <v>#N/A</v>
      </c>
      <c r="AM11" s="5" t="e">
        <f>MATCH($A11&amp;"R"&amp;AM$1,'Match Schedule'!$O$11:$O$92,0)</f>
        <v>#N/A</v>
      </c>
      <c r="AN11" s="5">
        <f>MATCH($A11&amp;"R"&amp;AN$1,'Match Schedule'!$O$11:$O$92,0)</f>
        <v>17</v>
      </c>
      <c r="AO11" s="5">
        <f>MATCH($A11&amp;"R"&amp;AO$1,'Match Schedule'!$P$11:$P$92,0)</f>
        <v>3</v>
      </c>
      <c r="AP11" s="5">
        <f>MATCH($A11&amp;"R"&amp;AP$1,'Match Schedule'!$P$11:$P$92,0)</f>
        <v>10</v>
      </c>
      <c r="AQ11" s="5" t="e">
        <f>MATCH($A11&amp;"R"&amp;AQ$1,'Match Schedule'!$P$11:$P$92,0)</f>
        <v>#N/A</v>
      </c>
    </row>
    <row r="12" spans="1:43" ht="12.75">
      <c r="A12" s="51">
        <f>Teams!A12</f>
        <v>11</v>
      </c>
      <c r="B12" s="51">
        <f>Teams!C12</f>
        <v>8627</v>
      </c>
      <c r="C12" s="51" t="str">
        <f>Teams!B12</f>
        <v>The Other Team Again</v>
      </c>
      <c r="D12" s="65">
        <f t="shared" si="1"/>
        <v>131</v>
      </c>
      <c r="E12" s="65">
        <f t="shared" si="2"/>
        <v>124</v>
      </c>
      <c r="F12" s="65">
        <f t="shared" si="3"/>
        <v>144</v>
      </c>
      <c r="G12" s="65">
        <f t="shared" si="4"/>
      </c>
      <c r="H12" s="65">
        <f t="shared" si="5"/>
      </c>
      <c r="I12" s="65">
        <f t="shared" si="6"/>
      </c>
      <c r="J12" s="65">
        <f t="shared" si="7"/>
      </c>
      <c r="K12" s="66">
        <f t="shared" si="8"/>
        <v>144</v>
      </c>
      <c r="L12" s="51">
        <f t="shared" si="9"/>
        <v>3</v>
      </c>
      <c r="M12" s="51">
        <f t="shared" si="10"/>
        <v>3</v>
      </c>
      <c r="N12" s="51">
        <f t="shared" si="11"/>
        <v>3</v>
      </c>
      <c r="Q12">
        <f>INDEX('Score List'!$D$4:$D$198,MATCH($A12&amp;"R"&amp;Q$1,'Score List'!$T$4:$T$198,0),1)</f>
        <v>131</v>
      </c>
      <c r="R12">
        <f>INDEX('Score List'!$D$4:$D$198,MATCH($A12&amp;"R"&amp;R$1,'Score List'!$T$4:$T$198,0),1)</f>
        <v>124</v>
      </c>
      <c r="S12">
        <f>INDEX('Score List'!$D$4:$D$198,MATCH($A12&amp;"R"&amp;S$1,'Score List'!$T$4:$T$198,0),1)</f>
        <v>144</v>
      </c>
      <c r="T12" t="e">
        <f>INDEX('Score List'!$D$4:$D$198,MATCH($A12&amp;"R"&amp;T$1,'Score List'!$T$4:$T$198,0),1)</f>
        <v>#N/A</v>
      </c>
      <c r="U12" t="e">
        <f>INDEX('Score List'!$D$4:$D$198,MATCH($A12&amp;"R"&amp;U$1,'Score List'!$T$4:$T$198,0),1)</f>
        <v>#N/A</v>
      </c>
      <c r="V12" t="e">
        <f>INDEX('Score List'!$D$4:$D$198,MATCH($A12&amp;"R"&amp;V$1,'Score List'!$T$4:$T$198,0),1)</f>
        <v>#N/A</v>
      </c>
      <c r="W12" t="e">
        <f>INDEX('Score List'!$D$4:$D$198,MATCH($A12&amp;"R"&amp;W$1,'Score List'!$T$4:$T$198,0),1)</f>
        <v>#N/A</v>
      </c>
      <c r="X12" s="71" t="str">
        <f t="shared" si="12"/>
        <v>144</v>
      </c>
      <c r="Y12" s="71" t="str">
        <f t="shared" si="12"/>
        <v>131</v>
      </c>
      <c r="Z12" s="71" t="str">
        <f t="shared" si="12"/>
        <v>124</v>
      </c>
      <c r="AA12" s="71" t="str">
        <f t="shared" si="12"/>
        <v>000</v>
      </c>
      <c r="AB12" s="71" t="str">
        <f t="shared" si="13"/>
        <v>89</v>
      </c>
      <c r="AC12" s="72">
        <f t="shared" si="14"/>
        <v>144131124000</v>
      </c>
      <c r="AD12" s="72">
        <f t="shared" si="15"/>
        <v>14413112400089</v>
      </c>
      <c r="AE12" s="51">
        <f t="shared" si="16"/>
        <v>131</v>
      </c>
      <c r="AF12" s="51">
        <f t="shared" si="17"/>
        <v>124</v>
      </c>
      <c r="AG12" s="51">
        <f t="shared" si="18"/>
        <v>144</v>
      </c>
      <c r="AH12" s="122">
        <f>INDEX('Match Schedule'!$C$11:$C102,IF(ISNUMBER(AL12),AL12,AO12),1)</f>
        <v>0.5729166666666666</v>
      </c>
      <c r="AI12" s="122">
        <f>INDEX('Match Schedule'!$C$11:$C102,IF(ISNUMBER(AM12),AM12,AP12),1)</f>
        <v>0.5972222222222221</v>
      </c>
      <c r="AJ12" s="122">
        <f>INDEX('Match Schedule'!$C$11:$C102,IF(ISNUMBER(AN12),AN12,AQ12),1)</f>
        <v>0.6319444444444442</v>
      </c>
      <c r="AK12" s="122">
        <f t="shared" si="19"/>
        <v>0.5729166666666666</v>
      </c>
      <c r="AL12" s="5">
        <f>MATCH($A12&amp;"R"&amp;AL$1,'Match Schedule'!$O$11:$O$92,0)</f>
        <v>4</v>
      </c>
      <c r="AM12" s="5">
        <f>MATCH($A12&amp;"R"&amp;AM$1,'Match Schedule'!$O$11:$O$92,0)</f>
        <v>9</v>
      </c>
      <c r="AN12" s="5" t="e">
        <f>MATCH($A12&amp;"R"&amp;AN$1,'Match Schedule'!$O$11:$O$92,0)</f>
        <v>#N/A</v>
      </c>
      <c r="AO12" s="5" t="e">
        <f>MATCH($A12&amp;"R"&amp;AO$1,'Match Schedule'!$P$11:$P$92,0)</f>
        <v>#N/A</v>
      </c>
      <c r="AP12" s="5" t="e">
        <f>MATCH($A12&amp;"R"&amp;AP$1,'Match Schedule'!$P$11:$P$92,0)</f>
        <v>#N/A</v>
      </c>
      <c r="AQ12" s="5">
        <f>MATCH($A12&amp;"R"&amp;AQ$1,'Match Schedule'!$P$11:$P$92,0)</f>
        <v>17</v>
      </c>
    </row>
    <row r="13" spans="1:43" ht="12.75">
      <c r="A13" s="51">
        <f>Teams!A13</f>
        <v>12</v>
      </c>
      <c r="B13" s="51">
        <f>Teams!C13</f>
        <v>9738</v>
      </c>
      <c r="C13" s="51" t="str">
        <f>Teams!B13</f>
        <v>Alien Calamari</v>
      </c>
      <c r="D13" s="65">
        <f t="shared" si="1"/>
        <v>92</v>
      </c>
      <c r="E13" s="65">
        <f t="shared" si="2"/>
        <v>103</v>
      </c>
      <c r="F13" s="65">
        <f t="shared" si="3"/>
        <v>88</v>
      </c>
      <c r="G13" s="65">
        <f t="shared" si="4"/>
      </c>
      <c r="H13" s="65">
        <f t="shared" si="5"/>
      </c>
      <c r="I13" s="65">
        <f t="shared" si="6"/>
      </c>
      <c r="J13" s="65">
        <f t="shared" si="7"/>
      </c>
      <c r="K13" s="66">
        <f t="shared" si="8"/>
        <v>103</v>
      </c>
      <c r="L13" s="51">
        <f t="shared" si="9"/>
        <v>15</v>
      </c>
      <c r="M13" s="51">
        <f t="shared" si="10"/>
        <v>15</v>
      </c>
      <c r="N13" s="51">
        <f t="shared" si="11"/>
        <v>3</v>
      </c>
      <c r="Q13">
        <f>INDEX('Score List'!$D$4:$D$198,MATCH($A13&amp;"R"&amp;Q$1,'Score List'!$T$4:$T$198,0),1)</f>
        <v>92</v>
      </c>
      <c r="R13">
        <f>INDEX('Score List'!$D$4:$D$198,MATCH($A13&amp;"R"&amp;R$1,'Score List'!$T$4:$T$198,0),1)</f>
        <v>103</v>
      </c>
      <c r="S13">
        <f>INDEX('Score List'!$D$4:$D$198,MATCH($A13&amp;"R"&amp;S$1,'Score List'!$T$4:$T$198,0),1)</f>
        <v>88</v>
      </c>
      <c r="T13" t="e">
        <f>INDEX('Score List'!$D$4:$D$198,MATCH($A13&amp;"R"&amp;T$1,'Score List'!$T$4:$T$198,0),1)</f>
        <v>#N/A</v>
      </c>
      <c r="U13" t="e">
        <f>INDEX('Score List'!$D$4:$D$198,MATCH($A13&amp;"R"&amp;U$1,'Score List'!$T$4:$T$198,0),1)</f>
        <v>#N/A</v>
      </c>
      <c r="V13" t="e">
        <f>INDEX('Score List'!$D$4:$D$198,MATCH($A13&amp;"R"&amp;V$1,'Score List'!$T$4:$T$198,0),1)</f>
        <v>#N/A</v>
      </c>
      <c r="W13" t="e">
        <f>INDEX('Score List'!$D$4:$D$198,MATCH($A13&amp;"R"&amp;W$1,'Score List'!$T$4:$T$198,0),1)</f>
        <v>#N/A</v>
      </c>
      <c r="X13" s="71" t="str">
        <f t="shared" si="12"/>
        <v>103</v>
      </c>
      <c r="Y13" s="71" t="str">
        <f t="shared" si="12"/>
        <v>092</v>
      </c>
      <c r="Z13" s="71" t="str">
        <f t="shared" si="12"/>
        <v>088</v>
      </c>
      <c r="AA13" s="71" t="str">
        <f t="shared" si="12"/>
        <v>000</v>
      </c>
      <c r="AB13" s="71" t="str">
        <f t="shared" si="13"/>
        <v>88</v>
      </c>
      <c r="AC13" s="72">
        <f t="shared" si="14"/>
        <v>103092088000</v>
      </c>
      <c r="AD13" s="72">
        <f t="shared" si="15"/>
        <v>10309208800088</v>
      </c>
      <c r="AE13" s="51">
        <f t="shared" si="16"/>
        <v>92</v>
      </c>
      <c r="AF13" s="51">
        <f t="shared" si="17"/>
        <v>103</v>
      </c>
      <c r="AG13" s="51">
        <f t="shared" si="18"/>
        <v>88</v>
      </c>
      <c r="AH13" s="122">
        <f>INDEX('Match Schedule'!$C$11:$C103,IF(ISNUMBER(AL13),AL13,AO13),1)</f>
        <v>0.5729166666666666</v>
      </c>
      <c r="AI13" s="122">
        <f>INDEX('Match Schedule'!$C$11:$C103,IF(ISNUMBER(AM13),AM13,AP13),1)</f>
        <v>0.6006944444444443</v>
      </c>
      <c r="AJ13" s="122">
        <f>INDEX('Match Schedule'!$C$11:$C103,IF(ISNUMBER(AN13),AN13,AQ13),1)</f>
        <v>0.6597222222222219</v>
      </c>
      <c r="AK13" s="122">
        <f t="shared" si="19"/>
        <v>0.5729166666666666</v>
      </c>
      <c r="AL13" s="5" t="e">
        <f>MATCH($A13&amp;"R"&amp;AL$1,'Match Schedule'!$O$11:$O$92,0)</f>
        <v>#N/A</v>
      </c>
      <c r="AM13" s="5">
        <f>MATCH($A13&amp;"R"&amp;AM$1,'Match Schedule'!$O$11:$O$92,0)</f>
        <v>10</v>
      </c>
      <c r="AN13" s="5" t="e">
        <f>MATCH($A13&amp;"R"&amp;AN$1,'Match Schedule'!$O$11:$O$92,0)</f>
        <v>#N/A</v>
      </c>
      <c r="AO13" s="5">
        <f>MATCH($A13&amp;"R"&amp;AO$1,'Match Schedule'!$P$11:$P$92,0)</f>
        <v>4</v>
      </c>
      <c r="AP13" s="5" t="e">
        <f>MATCH($A13&amp;"R"&amp;AP$1,'Match Schedule'!$P$11:$P$92,0)</f>
        <v>#N/A</v>
      </c>
      <c r="AQ13" s="5">
        <f>MATCH($A13&amp;"R"&amp;AQ$1,'Match Schedule'!$P$11:$P$92,0)</f>
        <v>23</v>
      </c>
    </row>
    <row r="14" spans="1:43" ht="12.75">
      <c r="A14" s="51">
        <f>Teams!A14</f>
        <v>13</v>
      </c>
      <c r="B14" s="51">
        <f>Teams!C14</f>
        <v>5820</v>
      </c>
      <c r="C14" s="51" t="str">
        <f>Teams!B14</f>
        <v>Pieceful Programmers</v>
      </c>
      <c r="D14" s="65">
        <f t="shared" si="1"/>
        <v>115</v>
      </c>
      <c r="E14" s="65">
        <f t="shared" si="2"/>
        <v>134</v>
      </c>
      <c r="F14" s="65">
        <f t="shared" si="3"/>
        <v>130</v>
      </c>
      <c r="G14" s="65">
        <f t="shared" si="4"/>
      </c>
      <c r="H14" s="65">
        <f t="shared" si="5"/>
      </c>
      <c r="I14" s="65">
        <f t="shared" si="6"/>
      </c>
      <c r="J14" s="65">
        <f t="shared" si="7"/>
      </c>
      <c r="K14" s="66">
        <f t="shared" si="8"/>
        <v>134</v>
      </c>
      <c r="L14" s="51">
        <f t="shared" si="9"/>
        <v>5</v>
      </c>
      <c r="M14" s="51">
        <f t="shared" si="10"/>
        <v>5</v>
      </c>
      <c r="N14" s="51">
        <f t="shared" si="11"/>
        <v>3</v>
      </c>
      <c r="Q14">
        <f>INDEX('Score List'!$D$4:$D$198,MATCH($A14&amp;"R"&amp;Q$1,'Score List'!$T$4:$T$198,0),1)</f>
        <v>115</v>
      </c>
      <c r="R14">
        <f>INDEX('Score List'!$D$4:$D$198,MATCH($A14&amp;"R"&amp;R$1,'Score List'!$T$4:$T$198,0),1)</f>
        <v>134</v>
      </c>
      <c r="S14">
        <f>INDEX('Score List'!$D$4:$D$198,MATCH($A14&amp;"R"&amp;S$1,'Score List'!$T$4:$T$198,0),1)</f>
        <v>130</v>
      </c>
      <c r="T14" t="e">
        <f>INDEX('Score List'!$D$4:$D$198,MATCH($A14&amp;"R"&amp;T$1,'Score List'!$T$4:$T$198,0),1)</f>
        <v>#N/A</v>
      </c>
      <c r="U14" t="e">
        <f>INDEX('Score List'!$D$4:$D$198,MATCH($A14&amp;"R"&amp;U$1,'Score List'!$T$4:$T$198,0),1)</f>
        <v>#N/A</v>
      </c>
      <c r="V14" t="e">
        <f>INDEX('Score List'!$D$4:$D$198,MATCH($A14&amp;"R"&amp;V$1,'Score List'!$T$4:$T$198,0),1)</f>
        <v>#N/A</v>
      </c>
      <c r="W14" t="e">
        <f>INDEX('Score List'!$D$4:$D$198,MATCH($A14&amp;"R"&amp;W$1,'Score List'!$T$4:$T$198,0),1)</f>
        <v>#N/A</v>
      </c>
      <c r="X14" s="71" t="str">
        <f t="shared" si="12"/>
        <v>134</v>
      </c>
      <c r="Y14" s="71" t="str">
        <f t="shared" si="12"/>
        <v>130</v>
      </c>
      <c r="Z14" s="71" t="str">
        <f t="shared" si="12"/>
        <v>115</v>
      </c>
      <c r="AA14" s="71" t="str">
        <f t="shared" si="12"/>
        <v>000</v>
      </c>
      <c r="AB14" s="71" t="str">
        <f t="shared" si="13"/>
        <v>87</v>
      </c>
      <c r="AC14" s="72">
        <f t="shared" si="14"/>
        <v>134130115000</v>
      </c>
      <c r="AD14" s="72">
        <f t="shared" si="15"/>
        <v>13413011500087</v>
      </c>
      <c r="AE14" s="51">
        <f t="shared" si="16"/>
        <v>115</v>
      </c>
      <c r="AF14" s="51">
        <f t="shared" si="17"/>
        <v>134</v>
      </c>
      <c r="AG14" s="51">
        <f t="shared" si="18"/>
        <v>130</v>
      </c>
      <c r="AH14" s="122">
        <f>INDEX('Match Schedule'!$C$11:$C104,IF(ISNUMBER(AL14),AL14,AO14),1)</f>
        <v>0.5763888888888888</v>
      </c>
      <c r="AI14" s="122">
        <f>INDEX('Match Schedule'!$C$11:$C104,IF(ISNUMBER(AM14),AM14,AP14),1)</f>
        <v>0.6145833333333331</v>
      </c>
      <c r="AJ14" s="122">
        <f>INDEX('Match Schedule'!$C$11:$C104,IF(ISNUMBER(AN14),AN14,AQ14),1)</f>
        <v>0.65625</v>
      </c>
      <c r="AK14" s="122">
        <f t="shared" si="19"/>
        <v>0.5763888888888888</v>
      </c>
      <c r="AL14" s="5">
        <f>MATCH($A14&amp;"R"&amp;AL$1,'Match Schedule'!$O$11:$O$92,0)</f>
        <v>5</v>
      </c>
      <c r="AM14" s="5" t="e">
        <f>MATCH($A14&amp;"R"&amp;AM$1,'Match Schedule'!$O$11:$O$92,0)</f>
        <v>#N/A</v>
      </c>
      <c r="AN14" s="5" t="e">
        <f>MATCH($A14&amp;"R"&amp;AN$1,'Match Schedule'!$O$11:$O$92,0)</f>
        <v>#N/A</v>
      </c>
      <c r="AO14" s="5" t="e">
        <f>MATCH($A14&amp;"R"&amp;AO$1,'Match Schedule'!$P$11:$P$92,0)</f>
        <v>#N/A</v>
      </c>
      <c r="AP14" s="5">
        <f>MATCH($A14&amp;"R"&amp;AP$1,'Match Schedule'!$P$11:$P$92,0)</f>
        <v>12</v>
      </c>
      <c r="AQ14" s="5">
        <f>MATCH($A14&amp;"R"&amp;AQ$1,'Match Schedule'!$P$11:$P$92,0)</f>
        <v>22</v>
      </c>
    </row>
    <row r="15" spans="1:43" ht="12.75">
      <c r="A15" s="51">
        <f>Teams!A15</f>
        <v>14</v>
      </c>
      <c r="B15" s="51">
        <f>Teams!C15</f>
        <v>5221</v>
      </c>
      <c r="C15" s="51" t="str">
        <f>Teams!B15</f>
        <v>Extreme Kennedy</v>
      </c>
      <c r="D15" s="65">
        <f t="shared" si="1"/>
        <v>133</v>
      </c>
      <c r="E15" s="65">
        <f t="shared" si="2"/>
        <v>124</v>
      </c>
      <c r="F15" s="65">
        <f t="shared" si="3"/>
        <v>119</v>
      </c>
      <c r="G15" s="65">
        <f t="shared" si="4"/>
      </c>
      <c r="H15" s="65">
        <f t="shared" si="5"/>
      </c>
      <c r="I15" s="65">
        <f t="shared" si="6"/>
      </c>
      <c r="J15" s="65">
        <f t="shared" si="7"/>
      </c>
      <c r="K15" s="66">
        <f t="shared" si="8"/>
        <v>133</v>
      </c>
      <c r="L15" s="51">
        <f t="shared" si="9"/>
        <v>7</v>
      </c>
      <c r="M15" s="51">
        <f t="shared" si="10"/>
        <v>7</v>
      </c>
      <c r="N15" s="51">
        <f t="shared" si="11"/>
        <v>3</v>
      </c>
      <c r="Q15">
        <f>INDEX('Score List'!$D$4:$D$198,MATCH($A15&amp;"R"&amp;Q$1,'Score List'!$T$4:$T$198,0),1)</f>
        <v>133</v>
      </c>
      <c r="R15">
        <f>INDEX('Score List'!$D$4:$D$198,MATCH($A15&amp;"R"&amp;R$1,'Score List'!$T$4:$T$198,0),1)</f>
        <v>124</v>
      </c>
      <c r="S15">
        <f>INDEX('Score List'!$D$4:$D$198,MATCH($A15&amp;"R"&amp;S$1,'Score List'!$T$4:$T$198,0),1)</f>
        <v>119</v>
      </c>
      <c r="T15" t="e">
        <f>INDEX('Score List'!$D$4:$D$198,MATCH($A15&amp;"R"&amp;T$1,'Score List'!$T$4:$T$198,0),1)</f>
        <v>#N/A</v>
      </c>
      <c r="U15" t="e">
        <f>INDEX('Score List'!$D$4:$D$198,MATCH($A15&amp;"R"&amp;U$1,'Score List'!$T$4:$T$198,0),1)</f>
        <v>#N/A</v>
      </c>
      <c r="V15" t="e">
        <f>INDEX('Score List'!$D$4:$D$198,MATCH($A15&amp;"R"&amp;V$1,'Score List'!$T$4:$T$198,0),1)</f>
        <v>#N/A</v>
      </c>
      <c r="W15" t="e">
        <f>INDEX('Score List'!$D$4:$D$198,MATCH($A15&amp;"R"&amp;W$1,'Score List'!$T$4:$T$198,0),1)</f>
        <v>#N/A</v>
      </c>
      <c r="X15" s="71" t="str">
        <f t="shared" si="12"/>
        <v>133</v>
      </c>
      <c r="Y15" s="71" t="str">
        <f t="shared" si="12"/>
        <v>124</v>
      </c>
      <c r="Z15" s="71" t="str">
        <f t="shared" si="12"/>
        <v>119</v>
      </c>
      <c r="AA15" s="71" t="str">
        <f t="shared" si="12"/>
        <v>000</v>
      </c>
      <c r="AB15" s="71" t="str">
        <f t="shared" si="13"/>
        <v>86</v>
      </c>
      <c r="AC15" s="72">
        <f t="shared" si="14"/>
        <v>133124119000</v>
      </c>
      <c r="AD15" s="72">
        <f t="shared" si="15"/>
        <v>13312411900086</v>
      </c>
      <c r="AE15" s="51">
        <f t="shared" si="16"/>
        <v>133</v>
      </c>
      <c r="AF15" s="51">
        <f t="shared" si="17"/>
        <v>124</v>
      </c>
      <c r="AG15" s="51">
        <f t="shared" si="18"/>
        <v>119</v>
      </c>
      <c r="AH15" s="122">
        <f>INDEX('Match Schedule'!$C$11:$C105,IF(ISNUMBER(AL15),AL15,AO15),1)</f>
        <v>0.5763888888888888</v>
      </c>
      <c r="AI15" s="122">
        <f>INDEX('Match Schedule'!$C$11:$C105,IF(ISNUMBER(AM15),AM15,AP15),1)</f>
        <v>0.625</v>
      </c>
      <c r="AJ15" s="122">
        <f>INDEX('Match Schedule'!$C$11:$C105,IF(ISNUMBER(AN15),AN15,AQ15),1)</f>
        <v>0.6527777777777775</v>
      </c>
      <c r="AK15" s="122">
        <f t="shared" si="19"/>
        <v>0.5763888888888888</v>
      </c>
      <c r="AL15" s="5" t="e">
        <f>MATCH($A15&amp;"R"&amp;AL$1,'Match Schedule'!$O$11:$O$92,0)</f>
        <v>#N/A</v>
      </c>
      <c r="AM15" s="5">
        <f>MATCH($A15&amp;"R"&amp;AM$1,'Match Schedule'!$O$11:$O$92,0)</f>
        <v>15</v>
      </c>
      <c r="AN15" s="5">
        <f>MATCH($A15&amp;"R"&amp;AN$1,'Match Schedule'!$O$11:$O$92,0)</f>
        <v>21</v>
      </c>
      <c r="AO15" s="5">
        <f>MATCH($A15&amp;"R"&amp;AO$1,'Match Schedule'!$P$11:$P$92,0)</f>
        <v>5</v>
      </c>
      <c r="AP15" s="5" t="e">
        <f>MATCH($A15&amp;"R"&amp;AP$1,'Match Schedule'!$P$11:$P$92,0)</f>
        <v>#N/A</v>
      </c>
      <c r="AQ15" s="5" t="e">
        <f>MATCH($A15&amp;"R"&amp;AQ$1,'Match Schedule'!$P$11:$P$92,0)</f>
        <v>#N/A</v>
      </c>
    </row>
    <row r="16" spans="1:43" ht="12.75">
      <c r="A16" s="51">
        <f>Teams!A16</f>
        <v>15</v>
      </c>
      <c r="B16" s="51">
        <f>Teams!C16</f>
        <v>3927</v>
      </c>
      <c r="C16" s="51" t="str">
        <f>Teams!B16</f>
        <v>Hazardous Waste</v>
      </c>
      <c r="D16" s="65">
        <f t="shared" si="1"/>
        <v>80</v>
      </c>
      <c r="E16" s="65">
        <f t="shared" si="2"/>
        <v>113</v>
      </c>
      <c r="F16" s="65">
        <f t="shared" si="3"/>
        <v>96</v>
      </c>
      <c r="G16" s="65">
        <f t="shared" si="4"/>
      </c>
      <c r="H16" s="65">
        <f t="shared" si="5"/>
      </c>
      <c r="I16" s="65">
        <f t="shared" si="6"/>
      </c>
      <c r="J16" s="65">
        <f t="shared" si="7"/>
      </c>
      <c r="K16" s="66">
        <f t="shared" si="8"/>
        <v>113</v>
      </c>
      <c r="L16" s="51">
        <f t="shared" si="9"/>
        <v>10</v>
      </c>
      <c r="M16" s="51">
        <f t="shared" si="10"/>
        <v>10</v>
      </c>
      <c r="N16" s="51">
        <f t="shared" si="11"/>
        <v>3</v>
      </c>
      <c r="Q16">
        <f>INDEX('Score List'!$D$4:$D$198,MATCH($A16&amp;"R"&amp;Q$1,'Score List'!$T$4:$T$198,0),1)</f>
        <v>80</v>
      </c>
      <c r="R16">
        <f>INDEX('Score List'!$D$4:$D$198,MATCH($A16&amp;"R"&amp;R$1,'Score List'!$T$4:$T$198,0),1)</f>
        <v>113</v>
      </c>
      <c r="S16">
        <f>INDEX('Score List'!$D$4:$D$198,MATCH($A16&amp;"R"&amp;S$1,'Score List'!$T$4:$T$198,0),1)</f>
        <v>96</v>
      </c>
      <c r="T16" t="e">
        <f>INDEX('Score List'!$D$4:$D$198,MATCH($A16&amp;"R"&amp;T$1,'Score List'!$T$4:$T$198,0),1)</f>
        <v>#N/A</v>
      </c>
      <c r="U16" t="e">
        <f>INDEX('Score List'!$D$4:$D$198,MATCH($A16&amp;"R"&amp;U$1,'Score List'!$T$4:$T$198,0),1)</f>
        <v>#N/A</v>
      </c>
      <c r="V16" t="e">
        <f>INDEX('Score List'!$D$4:$D$198,MATCH($A16&amp;"R"&amp;V$1,'Score List'!$T$4:$T$198,0),1)</f>
        <v>#N/A</v>
      </c>
      <c r="W16" t="e">
        <f>INDEX('Score List'!$D$4:$D$198,MATCH($A16&amp;"R"&amp;W$1,'Score List'!$T$4:$T$198,0),1)</f>
        <v>#N/A</v>
      </c>
      <c r="X16" s="71" t="str">
        <f t="shared" si="12"/>
        <v>113</v>
      </c>
      <c r="Y16" s="71" t="str">
        <f t="shared" si="12"/>
        <v>096</v>
      </c>
      <c r="Z16" s="71" t="str">
        <f t="shared" si="12"/>
        <v>080</v>
      </c>
      <c r="AA16" s="71" t="str">
        <f t="shared" si="12"/>
        <v>000</v>
      </c>
      <c r="AB16" s="71" t="str">
        <f t="shared" si="13"/>
        <v>85</v>
      </c>
      <c r="AC16" s="72">
        <f t="shared" si="14"/>
        <v>113096080000</v>
      </c>
      <c r="AD16" s="72">
        <f t="shared" si="15"/>
        <v>11309608000085</v>
      </c>
      <c r="AE16" s="51">
        <f t="shared" si="16"/>
        <v>80</v>
      </c>
      <c r="AF16" s="51">
        <f t="shared" si="17"/>
        <v>113</v>
      </c>
      <c r="AG16" s="51">
        <f t="shared" si="18"/>
        <v>96</v>
      </c>
      <c r="AH16" s="122">
        <f>INDEX('Match Schedule'!$C$11:$C106,IF(ISNUMBER(AL16),AL16,AO16),1)</f>
        <v>0.579861111111111</v>
      </c>
      <c r="AI16" s="122">
        <f>INDEX('Match Schedule'!$C$11:$C106,IF(ISNUMBER(AM16),AM16,AP16),1)</f>
        <v>0.6145833333333331</v>
      </c>
      <c r="AJ16" s="122">
        <f>INDEX('Match Schedule'!$C$11:$C106,IF(ISNUMBER(AN16),AN16,AQ16),1)</f>
        <v>0.6527777777777775</v>
      </c>
      <c r="AK16" s="122">
        <f t="shared" si="19"/>
        <v>0.579861111111111</v>
      </c>
      <c r="AL16" s="5">
        <f>MATCH($A16&amp;"R"&amp;AL$1,'Match Schedule'!$O$11:$O$92,0)</f>
        <v>6</v>
      </c>
      <c r="AM16" s="5">
        <f>MATCH($A16&amp;"R"&amp;AM$1,'Match Schedule'!$O$11:$O$92,0)</f>
        <v>12</v>
      </c>
      <c r="AN16" s="5" t="e">
        <f>MATCH($A16&amp;"R"&amp;AN$1,'Match Schedule'!$O$11:$O$92,0)</f>
        <v>#N/A</v>
      </c>
      <c r="AO16" s="5" t="e">
        <f>MATCH($A16&amp;"R"&amp;AO$1,'Match Schedule'!$P$11:$P$92,0)</f>
        <v>#N/A</v>
      </c>
      <c r="AP16" s="5" t="e">
        <f>MATCH($A16&amp;"R"&amp;AP$1,'Match Schedule'!$P$11:$P$92,0)</f>
        <v>#N/A</v>
      </c>
      <c r="AQ16" s="5">
        <f>MATCH($A16&amp;"R"&amp;AQ$1,'Match Schedule'!$P$11:$P$92,0)</f>
        <v>21</v>
      </c>
    </row>
    <row r="17" spans="1:43" ht="12.75">
      <c r="A17" s="51">
        <f>Teams!A17</f>
        <v>16</v>
      </c>
      <c r="B17" s="51">
        <f>Teams!C17</f>
        <v>6134</v>
      </c>
      <c r="C17" s="51" t="str">
        <f>Teams!B17</f>
        <v>Lightning Bots</v>
      </c>
      <c r="D17" s="65">
        <f t="shared" si="1"/>
        <v>90</v>
      </c>
      <c r="E17" s="65">
        <f t="shared" si="2"/>
        <v>135</v>
      </c>
      <c r="F17" s="65">
        <f t="shared" si="3"/>
        <v>150</v>
      </c>
      <c r="G17" s="65">
        <f t="shared" si="4"/>
      </c>
      <c r="H17" s="65">
        <f t="shared" si="5"/>
      </c>
      <c r="I17" s="65">
        <f t="shared" si="6"/>
      </c>
      <c r="J17" s="65">
        <f t="shared" si="7"/>
      </c>
      <c r="K17" s="66">
        <f t="shared" si="8"/>
        <v>150</v>
      </c>
      <c r="L17" s="51">
        <f t="shared" si="9"/>
        <v>2</v>
      </c>
      <c r="M17" s="51">
        <f t="shared" si="10"/>
        <v>2</v>
      </c>
      <c r="N17" s="51">
        <f t="shared" si="11"/>
        <v>3</v>
      </c>
      <c r="Q17">
        <f>INDEX('Score List'!$D$4:$D$198,MATCH($A17&amp;"R"&amp;Q$1,'Score List'!$T$4:$T$198,0),1)</f>
        <v>90</v>
      </c>
      <c r="R17">
        <f>INDEX('Score List'!$D$4:$D$198,MATCH($A17&amp;"R"&amp;R$1,'Score List'!$T$4:$T$198,0),1)</f>
        <v>135</v>
      </c>
      <c r="S17">
        <f>INDEX('Score List'!$D$4:$D$198,MATCH($A17&amp;"R"&amp;S$1,'Score List'!$T$4:$T$198,0),1)</f>
        <v>150</v>
      </c>
      <c r="T17" t="e">
        <f>INDEX('Score List'!$D$4:$D$198,MATCH($A17&amp;"R"&amp;T$1,'Score List'!$T$4:$T$198,0),1)</f>
        <v>#N/A</v>
      </c>
      <c r="U17" t="e">
        <f>INDEX('Score List'!$D$4:$D$198,MATCH($A17&amp;"R"&amp;U$1,'Score List'!$T$4:$T$198,0),1)</f>
        <v>#N/A</v>
      </c>
      <c r="V17" t="e">
        <f>INDEX('Score List'!$D$4:$D$198,MATCH($A17&amp;"R"&amp;V$1,'Score List'!$T$4:$T$198,0),1)</f>
        <v>#N/A</v>
      </c>
      <c r="W17" t="e">
        <f>INDEX('Score List'!$D$4:$D$198,MATCH($A17&amp;"R"&amp;W$1,'Score List'!$T$4:$T$198,0),1)</f>
        <v>#N/A</v>
      </c>
      <c r="X17" s="71" t="str">
        <f t="shared" si="12"/>
        <v>150</v>
      </c>
      <c r="Y17" s="71" t="str">
        <f t="shared" si="12"/>
        <v>135</v>
      </c>
      <c r="Z17" s="71" t="str">
        <f t="shared" si="12"/>
        <v>090</v>
      </c>
      <c r="AA17" s="71" t="str">
        <f t="shared" si="12"/>
        <v>000</v>
      </c>
      <c r="AB17" s="71" t="str">
        <f t="shared" si="13"/>
        <v>84</v>
      </c>
      <c r="AC17" s="72">
        <f t="shared" si="14"/>
        <v>150135090000</v>
      </c>
      <c r="AD17" s="72">
        <f t="shared" si="15"/>
        <v>15013509000084</v>
      </c>
      <c r="AE17" s="51">
        <f t="shared" si="16"/>
        <v>90</v>
      </c>
      <c r="AF17" s="51">
        <f t="shared" si="17"/>
        <v>135</v>
      </c>
      <c r="AG17" s="51">
        <f t="shared" si="18"/>
        <v>150</v>
      </c>
      <c r="AH17" s="122">
        <f>INDEX('Match Schedule'!$C$11:$C107,IF(ISNUMBER(AL17),AL17,AO17),1)</f>
        <v>0.579861111111111</v>
      </c>
      <c r="AI17" s="122">
        <f>INDEX('Match Schedule'!$C$11:$C107,IF(ISNUMBER(AM17),AM17,AP17),1)</f>
        <v>0.628472222222222</v>
      </c>
      <c r="AJ17" s="122">
        <f>INDEX('Match Schedule'!$C$11:$C107,IF(ISNUMBER(AN17),AN17,AQ17),1)</f>
        <v>0.65625</v>
      </c>
      <c r="AK17" s="122">
        <f t="shared" si="19"/>
        <v>0.579861111111111</v>
      </c>
      <c r="AL17" s="5" t="e">
        <f>MATCH($A17&amp;"R"&amp;AL$1,'Match Schedule'!$O$11:$O$92,0)</f>
        <v>#N/A</v>
      </c>
      <c r="AM17" s="5" t="e">
        <f>MATCH($A17&amp;"R"&amp;AM$1,'Match Schedule'!$O$11:$O$92,0)</f>
        <v>#N/A</v>
      </c>
      <c r="AN17" s="5">
        <f>MATCH($A17&amp;"R"&amp;AN$1,'Match Schedule'!$O$11:$O$92,0)</f>
        <v>22</v>
      </c>
      <c r="AO17" s="5">
        <f>MATCH($A17&amp;"R"&amp;AO$1,'Match Schedule'!$P$11:$P$92,0)</f>
        <v>6</v>
      </c>
      <c r="AP17" s="5">
        <f>MATCH($A17&amp;"R"&amp;AP$1,'Match Schedule'!$P$11:$P$92,0)</f>
        <v>16</v>
      </c>
      <c r="AQ17" s="5" t="e">
        <f>MATCH($A17&amp;"R"&amp;AQ$1,'Match Schedule'!$P$11:$P$92,0)</f>
        <v>#N/A</v>
      </c>
    </row>
    <row r="18" spans="1:43" ht="12.75">
      <c r="A18" s="51">
        <f>Teams!A18</f>
        <v>17</v>
      </c>
      <c r="B18" s="51">
        <f>Teams!C18</f>
        <v>0</v>
      </c>
      <c r="C18" s="51">
        <f>Teams!B18</f>
        <v>0</v>
      </c>
      <c r="D18" s="65">
        <f t="shared" si="1"/>
      </c>
      <c r="E18" s="65">
        <f t="shared" si="2"/>
      </c>
      <c r="F18" s="65">
        <f t="shared" si="3"/>
      </c>
      <c r="G18" s="65">
        <f t="shared" si="4"/>
      </c>
      <c r="H18" s="65">
        <f t="shared" si="5"/>
      </c>
      <c r="I18" s="65">
        <f t="shared" si="6"/>
      </c>
      <c r="J18" s="65">
        <f t="shared" si="7"/>
      </c>
      <c r="K18" s="66">
        <f t="shared" si="8"/>
        <v>0</v>
      </c>
      <c r="L18" s="51">
        <f t="shared" si="9"/>
        <v>17</v>
      </c>
      <c r="M18" s="51">
        <f t="shared" si="10"/>
        <v>17</v>
      </c>
      <c r="N18" s="51">
        <f t="shared" si="11"/>
        <v>0</v>
      </c>
      <c r="Q18" t="e">
        <f>INDEX('Score List'!$D$4:$D$198,MATCH($A18&amp;"R"&amp;Q$1,'Score List'!$T$4:$T$198,0),1)</f>
        <v>#N/A</v>
      </c>
      <c r="R18" t="e">
        <f>INDEX('Score List'!$D$4:$D$198,MATCH($A18&amp;"R"&amp;R$1,'Score List'!$T$4:$T$198,0),1)</f>
        <v>#N/A</v>
      </c>
      <c r="S18" t="e">
        <f>INDEX('Score List'!$D$4:$D$198,MATCH($A18&amp;"R"&amp;S$1,'Score List'!$T$4:$T$198,0),1)</f>
        <v>#N/A</v>
      </c>
      <c r="T18" t="e">
        <f>INDEX('Score List'!$D$4:$D$198,MATCH($A18&amp;"R"&amp;T$1,'Score List'!$T$4:$T$198,0),1)</f>
        <v>#N/A</v>
      </c>
      <c r="U18" t="e">
        <f>INDEX('Score List'!$D$4:$D$198,MATCH($A18&amp;"R"&amp;U$1,'Score List'!$T$4:$T$198,0),1)</f>
        <v>#N/A</v>
      </c>
      <c r="V18" t="e">
        <f>INDEX('Score List'!$D$4:$D$198,MATCH($A18&amp;"R"&amp;V$1,'Score List'!$T$4:$T$198,0),1)</f>
        <v>#N/A</v>
      </c>
      <c r="W18" t="e">
        <f>INDEX('Score List'!$D$4:$D$198,MATCH($A18&amp;"R"&amp;W$1,'Score List'!$T$4:$T$198,0),1)</f>
        <v>#N/A</v>
      </c>
      <c r="X18" s="71" t="str">
        <f t="shared" si="12"/>
        <v>000</v>
      </c>
      <c r="Y18" s="71" t="str">
        <f t="shared" si="12"/>
        <v>000</v>
      </c>
      <c r="Z18" s="71" t="str">
        <f t="shared" si="12"/>
        <v>000</v>
      </c>
      <c r="AA18" s="71" t="str">
        <f t="shared" si="12"/>
        <v>000</v>
      </c>
      <c r="AB18" s="71" t="str">
        <f t="shared" si="13"/>
        <v>83</v>
      </c>
      <c r="AC18" s="72">
        <f t="shared" si="14"/>
        <v>0</v>
      </c>
      <c r="AD18" s="72">
        <f t="shared" si="15"/>
        <v>83</v>
      </c>
      <c r="AE18" s="51" t="e">
        <f t="shared" si="16"/>
        <v>#N/A</v>
      </c>
      <c r="AF18" s="51" t="e">
        <f t="shared" si="17"/>
        <v>#N/A</v>
      </c>
      <c r="AG18" s="51" t="e">
        <f t="shared" si="18"/>
        <v>#N/A</v>
      </c>
      <c r="AH18" s="122" t="e">
        <f>INDEX('Match Schedule'!$C$11:$C108,IF(ISNUMBER(AL18),AL18,AO18),1)</f>
        <v>#N/A</v>
      </c>
      <c r="AI18" s="122" t="e">
        <f>INDEX('Match Schedule'!$C$11:$C108,IF(ISNUMBER(AM18),AM18,AP18),1)</f>
        <v>#N/A</v>
      </c>
      <c r="AJ18" s="122" t="e">
        <f>INDEX('Match Schedule'!$C$11:$C108,IF(ISNUMBER(AN18),AN18,AQ18),1)</f>
        <v>#N/A</v>
      </c>
      <c r="AK18" s="122" t="e">
        <f t="shared" si="19"/>
        <v>#N/A</v>
      </c>
      <c r="AL18" s="5" t="e">
        <f>MATCH($A18&amp;"R"&amp;AL$1,'Match Schedule'!$O$11:$O$92,0)</f>
        <v>#N/A</v>
      </c>
      <c r="AM18" s="5" t="e">
        <f>MATCH($A18&amp;"R"&amp;AM$1,'Match Schedule'!$O$11:$O$92,0)</f>
        <v>#N/A</v>
      </c>
      <c r="AN18" s="5" t="e">
        <f>MATCH($A18&amp;"R"&amp;AN$1,'Match Schedule'!$O$11:$O$92,0)</f>
        <v>#N/A</v>
      </c>
      <c r="AO18" s="5" t="e">
        <f>MATCH($A18&amp;"R"&amp;AO$1,'Match Schedule'!$P$11:$P$92,0)</f>
        <v>#N/A</v>
      </c>
      <c r="AP18" s="5" t="e">
        <f>MATCH($A18&amp;"R"&amp;AP$1,'Match Schedule'!$P$11:$P$92,0)</f>
        <v>#N/A</v>
      </c>
      <c r="AQ18" s="5" t="e">
        <f>MATCH($A18&amp;"R"&amp;AQ$1,'Match Schedule'!$P$11:$P$92,0)</f>
        <v>#N/A</v>
      </c>
    </row>
    <row r="19" spans="1:43" ht="12.75">
      <c r="A19" s="51">
        <f>Teams!A19</f>
        <v>18</v>
      </c>
      <c r="B19" s="51">
        <f>Teams!C19</f>
        <v>0</v>
      </c>
      <c r="C19" s="51">
        <f>Teams!B19</f>
        <v>0</v>
      </c>
      <c r="D19" s="65">
        <f t="shared" si="1"/>
      </c>
      <c r="E19" s="65">
        <f t="shared" si="2"/>
      </c>
      <c r="F19" s="65">
        <f t="shared" si="3"/>
      </c>
      <c r="G19" s="65">
        <f t="shared" si="4"/>
      </c>
      <c r="H19" s="65">
        <f t="shared" si="5"/>
      </c>
      <c r="I19" s="65">
        <f t="shared" si="6"/>
      </c>
      <c r="J19" s="65">
        <f t="shared" si="7"/>
      </c>
      <c r="K19" s="66">
        <f t="shared" si="8"/>
        <v>0</v>
      </c>
      <c r="L19" s="51">
        <f t="shared" si="9"/>
        <v>17</v>
      </c>
      <c r="M19" s="51">
        <f t="shared" si="10"/>
        <v>18</v>
      </c>
      <c r="N19" s="51">
        <f t="shared" si="11"/>
        <v>0</v>
      </c>
      <c r="Q19" t="e">
        <f>INDEX('Score List'!$D$4:$D$198,MATCH($A19&amp;"R"&amp;Q$1,'Score List'!$T$4:$T$198,0),1)</f>
        <v>#N/A</v>
      </c>
      <c r="R19" t="e">
        <f>INDEX('Score List'!$D$4:$D$198,MATCH($A19&amp;"R"&amp;R$1,'Score List'!$T$4:$T$198,0),1)</f>
        <v>#N/A</v>
      </c>
      <c r="S19" t="e">
        <f>INDEX('Score List'!$D$4:$D$198,MATCH($A19&amp;"R"&amp;S$1,'Score List'!$T$4:$T$198,0),1)</f>
        <v>#N/A</v>
      </c>
      <c r="T19" t="e">
        <f>INDEX('Score List'!$D$4:$D$198,MATCH($A19&amp;"R"&amp;T$1,'Score List'!$T$4:$T$198,0),1)</f>
        <v>#N/A</v>
      </c>
      <c r="U19" t="e">
        <f>INDEX('Score List'!$D$4:$D$198,MATCH($A19&amp;"R"&amp;U$1,'Score List'!$T$4:$T$198,0),1)</f>
        <v>#N/A</v>
      </c>
      <c r="V19" t="e">
        <f>INDEX('Score List'!$D$4:$D$198,MATCH($A19&amp;"R"&amp;V$1,'Score List'!$T$4:$T$198,0),1)</f>
        <v>#N/A</v>
      </c>
      <c r="W19" t="e">
        <f>INDEX('Score List'!$D$4:$D$198,MATCH($A19&amp;"R"&amp;W$1,'Score List'!$T$4:$T$198,0),1)</f>
        <v>#N/A</v>
      </c>
      <c r="X19" s="71" t="str">
        <f t="shared" si="12"/>
        <v>000</v>
      </c>
      <c r="Y19" s="71" t="str">
        <f t="shared" si="12"/>
        <v>000</v>
      </c>
      <c r="Z19" s="71" t="str">
        <f t="shared" si="12"/>
        <v>000</v>
      </c>
      <c r="AA19" s="71" t="str">
        <f t="shared" si="12"/>
        <v>000</v>
      </c>
      <c r="AB19" s="71" t="str">
        <f t="shared" si="13"/>
        <v>82</v>
      </c>
      <c r="AC19" s="72">
        <f t="shared" si="14"/>
        <v>0</v>
      </c>
      <c r="AD19" s="72">
        <f t="shared" si="15"/>
        <v>82</v>
      </c>
      <c r="AE19" s="51" t="e">
        <f t="shared" si="16"/>
        <v>#N/A</v>
      </c>
      <c r="AF19" s="51" t="e">
        <f t="shared" si="17"/>
        <v>#N/A</v>
      </c>
      <c r="AG19" s="51" t="e">
        <f t="shared" si="18"/>
        <v>#N/A</v>
      </c>
      <c r="AH19" s="122" t="e">
        <f>INDEX('Match Schedule'!$C$11:$C109,IF(ISNUMBER(AL19),AL19,AO19),1)</f>
        <v>#N/A</v>
      </c>
      <c r="AI19" s="122" t="e">
        <f>INDEX('Match Schedule'!$C$11:$C109,IF(ISNUMBER(AM19),AM19,AP19),1)</f>
        <v>#N/A</v>
      </c>
      <c r="AJ19" s="122" t="e">
        <f>INDEX('Match Schedule'!$C$11:$C109,IF(ISNUMBER(AN19),AN19,AQ19),1)</f>
        <v>#N/A</v>
      </c>
      <c r="AK19" s="122" t="e">
        <f t="shared" si="19"/>
        <v>#N/A</v>
      </c>
      <c r="AL19" s="5" t="e">
        <f>MATCH($A19&amp;"R"&amp;AL$1,'Match Schedule'!$O$11:$O$92,0)</f>
        <v>#N/A</v>
      </c>
      <c r="AM19" s="5" t="e">
        <f>MATCH($A19&amp;"R"&amp;AM$1,'Match Schedule'!$O$11:$O$92,0)</f>
        <v>#N/A</v>
      </c>
      <c r="AN19" s="5" t="e">
        <f>MATCH($A19&amp;"R"&amp;AN$1,'Match Schedule'!$O$11:$O$92,0)</f>
        <v>#N/A</v>
      </c>
      <c r="AO19" s="5" t="e">
        <f>MATCH($A19&amp;"R"&amp;AO$1,'Match Schedule'!$P$11:$P$92,0)</f>
        <v>#N/A</v>
      </c>
      <c r="AP19" s="5" t="e">
        <f>MATCH($A19&amp;"R"&amp;AP$1,'Match Schedule'!$P$11:$P$92,0)</f>
        <v>#N/A</v>
      </c>
      <c r="AQ19" s="5" t="e">
        <f>MATCH($A19&amp;"R"&amp;AQ$1,'Match Schedule'!$P$11:$P$92,0)</f>
        <v>#N/A</v>
      </c>
    </row>
    <row r="20" spans="1:43" ht="12.75">
      <c r="A20" s="51">
        <f>Teams!A20</f>
        <v>19</v>
      </c>
      <c r="B20" s="51">
        <f>Teams!C20</f>
        <v>0</v>
      </c>
      <c r="C20" s="51">
        <f>Teams!B20</f>
        <v>0</v>
      </c>
      <c r="D20" s="65">
        <f t="shared" si="1"/>
      </c>
      <c r="E20" s="65">
        <f t="shared" si="2"/>
      </c>
      <c r="F20" s="65">
        <f t="shared" si="3"/>
      </c>
      <c r="G20" s="65">
        <f t="shared" si="4"/>
      </c>
      <c r="H20" s="65">
        <f t="shared" si="5"/>
      </c>
      <c r="I20" s="65">
        <f t="shared" si="6"/>
      </c>
      <c r="J20" s="65">
        <f t="shared" si="7"/>
      </c>
      <c r="K20" s="66">
        <f t="shared" si="8"/>
        <v>0</v>
      </c>
      <c r="L20" s="51">
        <f t="shared" si="9"/>
        <v>17</v>
      </c>
      <c r="M20" s="51">
        <f t="shared" si="10"/>
        <v>19</v>
      </c>
      <c r="N20" s="51">
        <f t="shared" si="11"/>
        <v>0</v>
      </c>
      <c r="Q20" t="e">
        <f>INDEX('Score List'!$D$4:$D$198,MATCH($A20&amp;"R"&amp;Q$1,'Score List'!$T$4:$T$198,0),1)</f>
        <v>#N/A</v>
      </c>
      <c r="R20" t="e">
        <f>INDEX('Score List'!$D$4:$D$198,MATCH($A20&amp;"R"&amp;R$1,'Score List'!$T$4:$T$198,0),1)</f>
        <v>#N/A</v>
      </c>
      <c r="S20" t="e">
        <f>INDEX('Score List'!$D$4:$D$198,MATCH($A20&amp;"R"&amp;S$1,'Score List'!$T$4:$T$198,0),1)</f>
        <v>#N/A</v>
      </c>
      <c r="T20" t="e">
        <f>INDEX('Score List'!$D$4:$D$198,MATCH($A20&amp;"R"&amp;T$1,'Score List'!$T$4:$T$198,0),1)</f>
        <v>#N/A</v>
      </c>
      <c r="U20" t="e">
        <f>INDEX('Score List'!$D$4:$D$198,MATCH($A20&amp;"R"&amp;U$1,'Score List'!$T$4:$T$198,0),1)</f>
        <v>#N/A</v>
      </c>
      <c r="V20" t="e">
        <f>INDEX('Score List'!$D$4:$D$198,MATCH($A20&amp;"R"&amp;V$1,'Score List'!$T$4:$T$198,0),1)</f>
        <v>#N/A</v>
      </c>
      <c r="W20" t="e">
        <f>INDEX('Score List'!$D$4:$D$198,MATCH($A20&amp;"R"&amp;W$1,'Score List'!$T$4:$T$198,0),1)</f>
        <v>#N/A</v>
      </c>
      <c r="X20" s="71" t="str">
        <f t="shared" si="12"/>
        <v>000</v>
      </c>
      <c r="Y20" s="71" t="str">
        <f t="shared" si="12"/>
        <v>000</v>
      </c>
      <c r="Z20" s="71" t="str">
        <f t="shared" si="12"/>
        <v>000</v>
      </c>
      <c r="AA20" s="71" t="str">
        <f t="shared" si="12"/>
        <v>000</v>
      </c>
      <c r="AB20" s="71" t="str">
        <f t="shared" si="13"/>
        <v>81</v>
      </c>
      <c r="AC20" s="72">
        <f t="shared" si="14"/>
        <v>0</v>
      </c>
      <c r="AD20" s="72">
        <f t="shared" si="15"/>
        <v>81</v>
      </c>
      <c r="AE20" s="51" t="e">
        <f t="shared" si="16"/>
        <v>#N/A</v>
      </c>
      <c r="AF20" s="51" t="e">
        <f t="shared" si="17"/>
        <v>#N/A</v>
      </c>
      <c r="AG20" s="51" t="e">
        <f t="shared" si="18"/>
        <v>#N/A</v>
      </c>
      <c r="AH20" s="122" t="e">
        <f>INDEX('Match Schedule'!$C$11:$C110,IF(ISNUMBER(AL20),AL20,AO20),1)</f>
        <v>#N/A</v>
      </c>
      <c r="AI20" s="122" t="e">
        <f>INDEX('Match Schedule'!$C$11:$C110,IF(ISNUMBER(AM20),AM20,AP20),1)</f>
        <v>#N/A</v>
      </c>
      <c r="AJ20" s="122" t="e">
        <f>INDEX('Match Schedule'!$C$11:$C110,IF(ISNUMBER(AN20),AN20,AQ20),1)</f>
        <v>#N/A</v>
      </c>
      <c r="AK20" s="122" t="e">
        <f t="shared" si="19"/>
        <v>#N/A</v>
      </c>
      <c r="AL20" s="5" t="e">
        <f>MATCH($A20&amp;"R"&amp;AL$1,'Match Schedule'!$O$11:$O$92,0)</f>
        <v>#N/A</v>
      </c>
      <c r="AM20" s="5" t="e">
        <f>MATCH($A20&amp;"R"&amp;AM$1,'Match Schedule'!$O$11:$O$92,0)</f>
        <v>#N/A</v>
      </c>
      <c r="AN20" s="5" t="e">
        <f>MATCH($A20&amp;"R"&amp;AN$1,'Match Schedule'!$O$11:$O$92,0)</f>
        <v>#N/A</v>
      </c>
      <c r="AO20" s="5" t="e">
        <f>MATCH($A20&amp;"R"&amp;AO$1,'Match Schedule'!$P$11:$P$92,0)</f>
        <v>#N/A</v>
      </c>
      <c r="AP20" s="5" t="e">
        <f>MATCH($A20&amp;"R"&amp;AP$1,'Match Schedule'!$P$11:$P$92,0)</f>
        <v>#N/A</v>
      </c>
      <c r="AQ20" s="5" t="e">
        <f>MATCH($A20&amp;"R"&amp;AQ$1,'Match Schedule'!$P$11:$P$92,0)</f>
        <v>#N/A</v>
      </c>
    </row>
    <row r="21" spans="1:43" ht="12.75">
      <c r="A21" s="51">
        <f>Teams!A21</f>
        <v>20</v>
      </c>
      <c r="B21" s="51">
        <f>Teams!C21</f>
        <v>0</v>
      </c>
      <c r="C21" s="51">
        <f>Teams!B21</f>
        <v>0</v>
      </c>
      <c r="D21" s="65">
        <f t="shared" si="1"/>
      </c>
      <c r="E21" s="65">
        <f t="shared" si="2"/>
      </c>
      <c r="F21" s="65">
        <f t="shared" si="3"/>
      </c>
      <c r="G21" s="65">
        <f t="shared" si="4"/>
      </c>
      <c r="H21" s="65">
        <f t="shared" si="5"/>
      </c>
      <c r="I21" s="65">
        <f t="shared" si="6"/>
      </c>
      <c r="J21" s="65">
        <f t="shared" si="7"/>
      </c>
      <c r="K21" s="66">
        <f t="shared" si="8"/>
        <v>0</v>
      </c>
      <c r="L21" s="51">
        <f t="shared" si="9"/>
        <v>17</v>
      </c>
      <c r="M21" s="51">
        <f t="shared" si="10"/>
        <v>20</v>
      </c>
      <c r="N21" s="51">
        <f t="shared" si="11"/>
        <v>0</v>
      </c>
      <c r="Q21" t="e">
        <f>INDEX('Score List'!$D$4:$D$198,MATCH($A21&amp;"R"&amp;Q$1,'Score List'!$T$4:$T$198,0),1)</f>
        <v>#N/A</v>
      </c>
      <c r="R21" t="e">
        <f>INDEX('Score List'!$D$4:$D$198,MATCH($A21&amp;"R"&amp;R$1,'Score List'!$T$4:$T$198,0),1)</f>
        <v>#N/A</v>
      </c>
      <c r="S21" t="e">
        <f>INDEX('Score List'!$D$4:$D$198,MATCH($A21&amp;"R"&amp;S$1,'Score List'!$T$4:$T$198,0),1)</f>
        <v>#N/A</v>
      </c>
      <c r="T21" t="e">
        <f>INDEX('Score List'!$D$4:$D$198,MATCH($A21&amp;"R"&amp;T$1,'Score List'!$T$4:$T$198,0),1)</f>
        <v>#N/A</v>
      </c>
      <c r="U21" t="e">
        <f>INDEX('Score List'!$D$4:$D$198,MATCH($A21&amp;"R"&amp;U$1,'Score List'!$T$4:$T$198,0),1)</f>
        <v>#N/A</v>
      </c>
      <c r="V21" t="e">
        <f>INDEX('Score List'!$D$4:$D$198,MATCH($A21&amp;"R"&amp;V$1,'Score List'!$T$4:$T$198,0),1)</f>
        <v>#N/A</v>
      </c>
      <c r="W21" t="e">
        <f>INDEX('Score List'!$D$4:$D$198,MATCH($A21&amp;"R"&amp;W$1,'Score List'!$T$4:$T$198,0),1)</f>
        <v>#N/A</v>
      </c>
      <c r="X21" s="71" t="str">
        <f t="shared" si="12"/>
        <v>000</v>
      </c>
      <c r="Y21" s="71" t="str">
        <f t="shared" si="12"/>
        <v>000</v>
      </c>
      <c r="Z21" s="71" t="str">
        <f t="shared" si="12"/>
        <v>000</v>
      </c>
      <c r="AA21" s="71" t="str">
        <f t="shared" si="12"/>
        <v>000</v>
      </c>
      <c r="AB21" s="71" t="str">
        <f t="shared" si="13"/>
        <v>80</v>
      </c>
      <c r="AC21" s="72">
        <f t="shared" si="14"/>
        <v>0</v>
      </c>
      <c r="AD21" s="72">
        <f t="shared" si="15"/>
        <v>80</v>
      </c>
      <c r="AE21" s="51" t="e">
        <f t="shared" si="16"/>
        <v>#N/A</v>
      </c>
      <c r="AF21" s="51" t="e">
        <f t="shared" si="17"/>
        <v>#N/A</v>
      </c>
      <c r="AG21" s="51" t="e">
        <f t="shared" si="18"/>
        <v>#N/A</v>
      </c>
      <c r="AH21" s="122" t="e">
        <f>INDEX('Match Schedule'!$C$11:$C111,IF(ISNUMBER(AL21),AL21,AO21),1)</f>
        <v>#N/A</v>
      </c>
      <c r="AI21" s="122" t="e">
        <f>INDEX('Match Schedule'!$C$11:$C111,IF(ISNUMBER(AM21),AM21,AP21),1)</f>
        <v>#N/A</v>
      </c>
      <c r="AJ21" s="122" t="e">
        <f>INDEX('Match Schedule'!$C$11:$C111,IF(ISNUMBER(AN21),AN21,AQ21),1)</f>
        <v>#N/A</v>
      </c>
      <c r="AK21" s="122" t="e">
        <f t="shared" si="19"/>
        <v>#N/A</v>
      </c>
      <c r="AL21" s="5" t="e">
        <f>MATCH($A21&amp;"R"&amp;AL$1,'Match Schedule'!$O$11:$O$92,0)</f>
        <v>#N/A</v>
      </c>
      <c r="AM21" s="5" t="e">
        <f>MATCH($A21&amp;"R"&amp;AM$1,'Match Schedule'!$O$11:$O$92,0)</f>
        <v>#N/A</v>
      </c>
      <c r="AN21" s="5" t="e">
        <f>MATCH($A21&amp;"R"&amp;AN$1,'Match Schedule'!$O$11:$O$92,0)</f>
        <v>#N/A</v>
      </c>
      <c r="AO21" s="5" t="e">
        <f>MATCH($A21&amp;"R"&amp;AO$1,'Match Schedule'!$P$11:$P$92,0)</f>
        <v>#N/A</v>
      </c>
      <c r="AP21" s="5" t="e">
        <f>MATCH($A21&amp;"R"&amp;AP$1,'Match Schedule'!$P$11:$P$92,0)</f>
        <v>#N/A</v>
      </c>
      <c r="AQ21" s="5" t="e">
        <f>MATCH($A21&amp;"R"&amp;AQ$1,'Match Schedule'!$P$11:$P$92,0)</f>
        <v>#N/A</v>
      </c>
    </row>
    <row r="22" spans="1:43" ht="12.75">
      <c r="A22" s="51">
        <f>Teams!A22</f>
        <v>21</v>
      </c>
      <c r="B22" s="51">
        <f>Teams!C22</f>
        <v>0</v>
      </c>
      <c r="C22" s="51">
        <f>Teams!B22</f>
        <v>0</v>
      </c>
      <c r="D22" s="65">
        <f t="shared" si="1"/>
      </c>
      <c r="E22" s="65">
        <f t="shared" si="2"/>
      </c>
      <c r="F22" s="65">
        <f t="shared" si="3"/>
      </c>
      <c r="G22" s="65">
        <f t="shared" si="4"/>
      </c>
      <c r="H22" s="65">
        <f t="shared" si="5"/>
      </c>
      <c r="I22" s="65">
        <f t="shared" si="6"/>
      </c>
      <c r="J22" s="65">
        <f t="shared" si="7"/>
      </c>
      <c r="K22" s="66">
        <f t="shared" si="8"/>
        <v>0</v>
      </c>
      <c r="L22" s="51">
        <f t="shared" si="9"/>
        <v>17</v>
      </c>
      <c r="M22" s="51">
        <f t="shared" si="10"/>
        <v>21</v>
      </c>
      <c r="N22" s="51">
        <f t="shared" si="11"/>
        <v>0</v>
      </c>
      <c r="Q22" t="e">
        <f>INDEX('Score List'!$D$4:$D$198,MATCH($A22&amp;"R"&amp;Q$1,'Score List'!$T$4:$T$198,0),1)</f>
        <v>#N/A</v>
      </c>
      <c r="R22" t="e">
        <f>INDEX('Score List'!$D$4:$D$198,MATCH($A22&amp;"R"&amp;R$1,'Score List'!$T$4:$T$198,0),1)</f>
        <v>#N/A</v>
      </c>
      <c r="S22" t="e">
        <f>INDEX('Score List'!$D$4:$D$198,MATCH($A22&amp;"R"&amp;S$1,'Score List'!$T$4:$T$198,0),1)</f>
        <v>#N/A</v>
      </c>
      <c r="T22" t="e">
        <f>INDEX('Score List'!$D$4:$D$198,MATCH($A22&amp;"R"&amp;T$1,'Score List'!$T$4:$T$198,0),1)</f>
        <v>#N/A</v>
      </c>
      <c r="U22" t="e">
        <f>INDEX('Score List'!$D$4:$D$198,MATCH($A22&amp;"R"&amp;U$1,'Score List'!$T$4:$T$198,0),1)</f>
        <v>#N/A</v>
      </c>
      <c r="V22" t="e">
        <f>INDEX('Score List'!$D$4:$D$198,MATCH($A22&amp;"R"&amp;V$1,'Score List'!$T$4:$T$198,0),1)</f>
        <v>#N/A</v>
      </c>
      <c r="W22" t="e">
        <f>INDEX('Score List'!$D$4:$D$198,MATCH($A22&amp;"R"&amp;W$1,'Score List'!$T$4:$T$198,0),1)</f>
        <v>#N/A</v>
      </c>
      <c r="X22" s="71" t="str">
        <f t="shared" si="12"/>
        <v>000</v>
      </c>
      <c r="Y22" s="71" t="str">
        <f t="shared" si="12"/>
        <v>000</v>
      </c>
      <c r="Z22" s="71" t="str">
        <f t="shared" si="12"/>
        <v>000</v>
      </c>
      <c r="AA22" s="71" t="str">
        <f t="shared" si="12"/>
        <v>000</v>
      </c>
      <c r="AB22" s="71" t="str">
        <f t="shared" si="13"/>
        <v>79</v>
      </c>
      <c r="AC22" s="72">
        <f t="shared" si="14"/>
        <v>0</v>
      </c>
      <c r="AD22" s="72">
        <f t="shared" si="15"/>
        <v>79</v>
      </c>
      <c r="AE22" s="51" t="e">
        <f t="shared" si="16"/>
        <v>#N/A</v>
      </c>
      <c r="AF22" s="51" t="e">
        <f t="shared" si="17"/>
        <v>#N/A</v>
      </c>
      <c r="AG22" s="51" t="e">
        <f t="shared" si="18"/>
        <v>#N/A</v>
      </c>
      <c r="AH22" s="122" t="e">
        <f>INDEX('Match Schedule'!$C$11:$C112,IF(ISNUMBER(AL22),AL22,AO22),1)</f>
        <v>#N/A</v>
      </c>
      <c r="AI22" s="122" t="e">
        <f>INDEX('Match Schedule'!$C$11:$C112,IF(ISNUMBER(AM22),AM22,AP22),1)</f>
        <v>#N/A</v>
      </c>
      <c r="AJ22" s="122" t="e">
        <f>INDEX('Match Schedule'!$C$11:$C112,IF(ISNUMBER(AN22),AN22,AQ22),1)</f>
        <v>#N/A</v>
      </c>
      <c r="AK22" s="122" t="e">
        <f t="shared" si="19"/>
        <v>#N/A</v>
      </c>
      <c r="AL22" s="5" t="e">
        <f>MATCH($A22&amp;"R"&amp;AL$1,'Match Schedule'!$O$11:$O$92,0)</f>
        <v>#N/A</v>
      </c>
      <c r="AM22" s="5" t="e">
        <f>MATCH($A22&amp;"R"&amp;AM$1,'Match Schedule'!$O$11:$O$92,0)</f>
        <v>#N/A</v>
      </c>
      <c r="AN22" s="5" t="e">
        <f>MATCH($A22&amp;"R"&amp;AN$1,'Match Schedule'!$O$11:$O$92,0)</f>
        <v>#N/A</v>
      </c>
      <c r="AO22" s="5" t="e">
        <f>MATCH($A22&amp;"R"&amp;AO$1,'Match Schedule'!$P$11:$P$92,0)</f>
        <v>#N/A</v>
      </c>
      <c r="AP22" s="5" t="e">
        <f>MATCH($A22&amp;"R"&amp;AP$1,'Match Schedule'!$P$11:$P$92,0)</f>
        <v>#N/A</v>
      </c>
      <c r="AQ22" s="5" t="e">
        <f>MATCH($A22&amp;"R"&amp;AQ$1,'Match Schedule'!$P$11:$P$92,0)</f>
        <v>#N/A</v>
      </c>
    </row>
    <row r="23" spans="1:43" ht="12.75">
      <c r="A23" s="51">
        <f>Teams!A23</f>
        <v>22</v>
      </c>
      <c r="B23" s="51">
        <f>Teams!C23</f>
        <v>0</v>
      </c>
      <c r="C23" s="51">
        <f>Teams!B23</f>
        <v>0</v>
      </c>
      <c r="D23" s="65">
        <f t="shared" si="1"/>
      </c>
      <c r="E23" s="65">
        <f t="shared" si="2"/>
      </c>
      <c r="F23" s="65">
        <f t="shared" si="3"/>
      </c>
      <c r="G23" s="65">
        <f t="shared" si="4"/>
      </c>
      <c r="H23" s="65">
        <f t="shared" si="5"/>
      </c>
      <c r="I23" s="65">
        <f t="shared" si="6"/>
      </c>
      <c r="J23" s="65">
        <f t="shared" si="7"/>
      </c>
      <c r="K23" s="66">
        <f t="shared" si="8"/>
        <v>0</v>
      </c>
      <c r="L23" s="51">
        <f t="shared" si="9"/>
        <v>17</v>
      </c>
      <c r="M23" s="51">
        <f t="shared" si="10"/>
        <v>22</v>
      </c>
      <c r="N23" s="51">
        <f t="shared" si="11"/>
        <v>0</v>
      </c>
      <c r="Q23" t="e">
        <f>INDEX('Score List'!$D$4:$D$198,MATCH($A23&amp;"R"&amp;Q$1,'Score List'!$T$4:$T$198,0),1)</f>
        <v>#N/A</v>
      </c>
      <c r="R23" t="e">
        <f>INDEX('Score List'!$D$4:$D$198,MATCH($A23&amp;"R"&amp;R$1,'Score List'!$T$4:$T$198,0),1)</f>
        <v>#N/A</v>
      </c>
      <c r="S23" t="e">
        <f>INDEX('Score List'!$D$4:$D$198,MATCH($A23&amp;"R"&amp;S$1,'Score List'!$T$4:$T$198,0),1)</f>
        <v>#N/A</v>
      </c>
      <c r="T23" t="e">
        <f>INDEX('Score List'!$D$4:$D$198,MATCH($A23&amp;"R"&amp;T$1,'Score List'!$T$4:$T$198,0),1)</f>
        <v>#N/A</v>
      </c>
      <c r="U23" t="e">
        <f>INDEX('Score List'!$D$4:$D$198,MATCH($A23&amp;"R"&amp;U$1,'Score List'!$T$4:$T$198,0),1)</f>
        <v>#N/A</v>
      </c>
      <c r="V23" t="e">
        <f>INDEX('Score List'!$D$4:$D$198,MATCH($A23&amp;"R"&amp;V$1,'Score List'!$T$4:$T$198,0),1)</f>
        <v>#N/A</v>
      </c>
      <c r="W23" t="e">
        <f>INDEX('Score List'!$D$4:$D$198,MATCH($A23&amp;"R"&amp;W$1,'Score List'!$T$4:$T$198,0),1)</f>
        <v>#N/A</v>
      </c>
      <c r="X23" s="71" t="str">
        <f t="shared" si="12"/>
        <v>000</v>
      </c>
      <c r="Y23" s="71" t="str">
        <f t="shared" si="12"/>
        <v>000</v>
      </c>
      <c r="Z23" s="71" t="str">
        <f t="shared" si="12"/>
        <v>000</v>
      </c>
      <c r="AA23" s="71" t="str">
        <f t="shared" si="12"/>
        <v>000</v>
      </c>
      <c r="AB23" s="71" t="str">
        <f t="shared" si="13"/>
        <v>78</v>
      </c>
      <c r="AC23" s="72">
        <f t="shared" si="14"/>
        <v>0</v>
      </c>
      <c r="AD23" s="72">
        <f t="shared" si="15"/>
        <v>78</v>
      </c>
      <c r="AE23" s="51" t="e">
        <f t="shared" si="16"/>
        <v>#N/A</v>
      </c>
      <c r="AF23" s="51" t="e">
        <f t="shared" si="17"/>
        <v>#N/A</v>
      </c>
      <c r="AG23" s="51" t="e">
        <f t="shared" si="18"/>
        <v>#N/A</v>
      </c>
      <c r="AH23" s="122" t="e">
        <f>INDEX('Match Schedule'!$C$11:$C113,IF(ISNUMBER(AL23),AL23,AO23),1)</f>
        <v>#N/A</v>
      </c>
      <c r="AI23" s="122" t="e">
        <f>INDEX('Match Schedule'!$C$11:$C113,IF(ISNUMBER(AM23),AM23,AP23),1)</f>
        <v>#N/A</v>
      </c>
      <c r="AJ23" s="122" t="e">
        <f>INDEX('Match Schedule'!$C$11:$C113,IF(ISNUMBER(AN23),AN23,AQ23),1)</f>
        <v>#N/A</v>
      </c>
      <c r="AK23" s="122" t="e">
        <f t="shared" si="19"/>
        <v>#N/A</v>
      </c>
      <c r="AL23" s="5" t="e">
        <f>MATCH($A23&amp;"R"&amp;AL$1,'Match Schedule'!$O$11:$O$92,0)</f>
        <v>#N/A</v>
      </c>
      <c r="AM23" s="5" t="e">
        <f>MATCH($A23&amp;"R"&amp;AM$1,'Match Schedule'!$O$11:$O$92,0)</f>
        <v>#N/A</v>
      </c>
      <c r="AN23" s="5" t="e">
        <f>MATCH($A23&amp;"R"&amp;AN$1,'Match Schedule'!$O$11:$O$92,0)</f>
        <v>#N/A</v>
      </c>
      <c r="AO23" s="5" t="e">
        <f>MATCH($A23&amp;"R"&amp;AO$1,'Match Schedule'!$P$11:$P$92,0)</f>
        <v>#N/A</v>
      </c>
      <c r="AP23" s="5" t="e">
        <f>MATCH($A23&amp;"R"&amp;AP$1,'Match Schedule'!$P$11:$P$92,0)</f>
        <v>#N/A</v>
      </c>
      <c r="AQ23" s="5" t="e">
        <f>MATCH($A23&amp;"R"&amp;AQ$1,'Match Schedule'!$P$11:$P$92,0)</f>
        <v>#N/A</v>
      </c>
    </row>
    <row r="24" spans="1:43" ht="12.75">
      <c r="A24" s="51">
        <f>Teams!A24</f>
        <v>23</v>
      </c>
      <c r="B24" s="51">
        <f>Teams!C24</f>
        <v>0</v>
      </c>
      <c r="C24" s="51">
        <f>Teams!B24</f>
        <v>0</v>
      </c>
      <c r="D24" s="65">
        <f t="shared" si="1"/>
      </c>
      <c r="E24" s="65">
        <f t="shared" si="2"/>
      </c>
      <c r="F24" s="65">
        <f t="shared" si="3"/>
      </c>
      <c r="G24" s="65">
        <f t="shared" si="4"/>
      </c>
      <c r="H24" s="65">
        <f t="shared" si="5"/>
      </c>
      <c r="I24" s="65">
        <f t="shared" si="6"/>
      </c>
      <c r="J24" s="65">
        <f t="shared" si="7"/>
      </c>
      <c r="K24" s="66">
        <f t="shared" si="8"/>
        <v>0</v>
      </c>
      <c r="L24" s="51">
        <f t="shared" si="9"/>
        <v>17</v>
      </c>
      <c r="M24" s="51">
        <f t="shared" si="10"/>
        <v>23</v>
      </c>
      <c r="N24" s="51">
        <f t="shared" si="11"/>
        <v>0</v>
      </c>
      <c r="Q24" t="e">
        <f>INDEX('Score List'!$D$4:$D$198,MATCH($A24&amp;"R"&amp;Q$1,'Score List'!$T$4:$T$198,0),1)</f>
        <v>#N/A</v>
      </c>
      <c r="R24" t="e">
        <f>INDEX('Score List'!$D$4:$D$198,MATCH($A24&amp;"R"&amp;R$1,'Score List'!$T$4:$T$198,0),1)</f>
        <v>#N/A</v>
      </c>
      <c r="S24" t="e">
        <f>INDEX('Score List'!$D$4:$D$198,MATCH($A24&amp;"R"&amp;S$1,'Score List'!$T$4:$T$198,0),1)</f>
        <v>#N/A</v>
      </c>
      <c r="T24" t="e">
        <f>INDEX('Score List'!$D$4:$D$198,MATCH($A24&amp;"R"&amp;T$1,'Score List'!$T$4:$T$198,0),1)</f>
        <v>#N/A</v>
      </c>
      <c r="U24" t="e">
        <f>INDEX('Score List'!$D$4:$D$198,MATCH($A24&amp;"R"&amp;U$1,'Score List'!$T$4:$T$198,0),1)</f>
        <v>#N/A</v>
      </c>
      <c r="V24" t="e">
        <f>INDEX('Score List'!$D$4:$D$198,MATCH($A24&amp;"R"&amp;V$1,'Score List'!$T$4:$T$198,0),1)</f>
        <v>#N/A</v>
      </c>
      <c r="W24" t="e">
        <f>INDEX('Score List'!$D$4:$D$198,MATCH($A24&amp;"R"&amp;W$1,'Score List'!$T$4:$T$198,0),1)</f>
        <v>#N/A</v>
      </c>
      <c r="X24" s="71" t="str">
        <f t="shared" si="12"/>
        <v>000</v>
      </c>
      <c r="Y24" s="71" t="str">
        <f t="shared" si="12"/>
        <v>000</v>
      </c>
      <c r="Z24" s="71" t="str">
        <f t="shared" si="12"/>
        <v>000</v>
      </c>
      <c r="AA24" s="71" t="str">
        <f t="shared" si="12"/>
        <v>000</v>
      </c>
      <c r="AB24" s="71" t="str">
        <f t="shared" si="13"/>
        <v>77</v>
      </c>
      <c r="AC24" s="72">
        <f t="shared" si="14"/>
        <v>0</v>
      </c>
      <c r="AD24" s="72">
        <f t="shared" si="15"/>
        <v>77</v>
      </c>
      <c r="AE24" s="51" t="e">
        <f t="shared" si="16"/>
        <v>#N/A</v>
      </c>
      <c r="AF24" s="51" t="e">
        <f t="shared" si="17"/>
        <v>#N/A</v>
      </c>
      <c r="AG24" s="51" t="e">
        <f t="shared" si="18"/>
        <v>#N/A</v>
      </c>
      <c r="AH24" s="122" t="e">
        <f>INDEX('Match Schedule'!$C$11:$C114,IF(ISNUMBER(AL24),AL24,AO24),1)</f>
        <v>#N/A</v>
      </c>
      <c r="AI24" s="122" t="e">
        <f>INDEX('Match Schedule'!$C$11:$C114,IF(ISNUMBER(AM24),AM24,AP24),1)</f>
        <v>#N/A</v>
      </c>
      <c r="AJ24" s="122" t="e">
        <f>INDEX('Match Schedule'!$C$11:$C114,IF(ISNUMBER(AN24),AN24,AQ24),1)</f>
        <v>#N/A</v>
      </c>
      <c r="AK24" s="122" t="e">
        <f t="shared" si="19"/>
        <v>#N/A</v>
      </c>
      <c r="AL24" s="5" t="e">
        <f>MATCH($A24&amp;"R"&amp;AL$1,'Match Schedule'!$O$11:$O$92,0)</f>
        <v>#N/A</v>
      </c>
      <c r="AM24" s="5" t="e">
        <f>MATCH($A24&amp;"R"&amp;AM$1,'Match Schedule'!$O$11:$O$92,0)</f>
        <v>#N/A</v>
      </c>
      <c r="AN24" s="5" t="e">
        <f>MATCH($A24&amp;"R"&amp;AN$1,'Match Schedule'!$O$11:$O$92,0)</f>
        <v>#N/A</v>
      </c>
      <c r="AO24" s="5" t="e">
        <f>MATCH($A24&amp;"R"&amp;AO$1,'Match Schedule'!$P$11:$P$92,0)</f>
        <v>#N/A</v>
      </c>
      <c r="AP24" s="5" t="e">
        <f>MATCH($A24&amp;"R"&amp;AP$1,'Match Schedule'!$P$11:$P$92,0)</f>
        <v>#N/A</v>
      </c>
      <c r="AQ24" s="5" t="e">
        <f>MATCH($A24&amp;"R"&amp;AQ$1,'Match Schedule'!$P$11:$P$92,0)</f>
        <v>#N/A</v>
      </c>
    </row>
    <row r="25" spans="1:43" ht="12.75">
      <c r="A25" s="51">
        <f>Teams!A25</f>
        <v>24</v>
      </c>
      <c r="B25" s="51">
        <f>Teams!C25</f>
        <v>0</v>
      </c>
      <c r="C25" s="51">
        <f>Teams!B25</f>
        <v>0</v>
      </c>
      <c r="D25" s="65">
        <f t="shared" si="1"/>
      </c>
      <c r="E25" s="65">
        <f t="shared" si="2"/>
      </c>
      <c r="F25" s="65">
        <f t="shared" si="3"/>
      </c>
      <c r="G25" s="65">
        <f t="shared" si="4"/>
      </c>
      <c r="H25" s="65">
        <f t="shared" si="5"/>
      </c>
      <c r="I25" s="65">
        <f t="shared" si="6"/>
      </c>
      <c r="J25" s="65">
        <f t="shared" si="7"/>
      </c>
      <c r="K25" s="66">
        <f t="shared" si="8"/>
        <v>0</v>
      </c>
      <c r="L25" s="51">
        <f t="shared" si="9"/>
        <v>17</v>
      </c>
      <c r="M25" s="51">
        <f t="shared" si="10"/>
        <v>24</v>
      </c>
      <c r="N25" s="51">
        <f t="shared" si="11"/>
        <v>0</v>
      </c>
      <c r="Q25" t="e">
        <f>INDEX('Score List'!$D$4:$D$198,MATCH($A25&amp;"R"&amp;Q$1,'Score List'!$T$4:$T$198,0),1)</f>
        <v>#N/A</v>
      </c>
      <c r="R25" t="e">
        <f>INDEX('Score List'!$D$4:$D$198,MATCH($A25&amp;"R"&amp;R$1,'Score List'!$T$4:$T$198,0),1)</f>
        <v>#N/A</v>
      </c>
      <c r="S25" t="e">
        <f>INDEX('Score List'!$D$4:$D$198,MATCH($A25&amp;"R"&amp;S$1,'Score List'!$T$4:$T$198,0),1)</f>
        <v>#N/A</v>
      </c>
      <c r="T25" t="e">
        <f>INDEX('Score List'!$D$4:$D$198,MATCH($A25&amp;"R"&amp;T$1,'Score List'!$T$4:$T$198,0),1)</f>
        <v>#N/A</v>
      </c>
      <c r="U25" t="e">
        <f>INDEX('Score List'!$D$4:$D$198,MATCH($A25&amp;"R"&amp;U$1,'Score List'!$T$4:$T$198,0),1)</f>
        <v>#N/A</v>
      </c>
      <c r="V25" t="e">
        <f>INDEX('Score List'!$D$4:$D$198,MATCH($A25&amp;"R"&amp;V$1,'Score List'!$T$4:$T$198,0),1)</f>
        <v>#N/A</v>
      </c>
      <c r="W25" t="e">
        <f>INDEX('Score List'!$D$4:$D$198,MATCH($A25&amp;"R"&amp;W$1,'Score List'!$T$4:$T$198,0),1)</f>
        <v>#N/A</v>
      </c>
      <c r="X25" s="71" t="str">
        <f t="shared" si="12"/>
        <v>000</v>
      </c>
      <c r="Y25" s="71" t="str">
        <f t="shared" si="12"/>
        <v>000</v>
      </c>
      <c r="Z25" s="71" t="str">
        <f t="shared" si="12"/>
        <v>000</v>
      </c>
      <c r="AA25" s="71" t="str">
        <f t="shared" si="12"/>
        <v>000</v>
      </c>
      <c r="AB25" s="71" t="str">
        <f t="shared" si="13"/>
        <v>76</v>
      </c>
      <c r="AC25" s="72">
        <f t="shared" si="14"/>
        <v>0</v>
      </c>
      <c r="AD25" s="72">
        <f t="shared" si="15"/>
        <v>76</v>
      </c>
      <c r="AE25" s="51" t="e">
        <f t="shared" si="16"/>
        <v>#N/A</v>
      </c>
      <c r="AF25" s="51" t="e">
        <f t="shared" si="17"/>
        <v>#N/A</v>
      </c>
      <c r="AG25" s="51" t="e">
        <f t="shared" si="18"/>
        <v>#N/A</v>
      </c>
      <c r="AH25" s="122" t="e">
        <f>INDEX('Match Schedule'!$C$11:$C115,IF(ISNUMBER(AL25),AL25,AO25),1)</f>
        <v>#N/A</v>
      </c>
      <c r="AI25" s="122" t="e">
        <f>INDEX('Match Schedule'!$C$11:$C115,IF(ISNUMBER(AM25),AM25,AP25),1)</f>
        <v>#N/A</v>
      </c>
      <c r="AJ25" s="122" t="e">
        <f>INDEX('Match Schedule'!$C$11:$C115,IF(ISNUMBER(AN25),AN25,AQ25),1)</f>
        <v>#N/A</v>
      </c>
      <c r="AK25" s="122" t="e">
        <f t="shared" si="19"/>
        <v>#N/A</v>
      </c>
      <c r="AL25" s="5" t="e">
        <f>MATCH($A25&amp;"R"&amp;AL$1,'Match Schedule'!$O$11:$O$92,0)</f>
        <v>#N/A</v>
      </c>
      <c r="AM25" s="5" t="e">
        <f>MATCH($A25&amp;"R"&amp;AM$1,'Match Schedule'!$O$11:$O$92,0)</f>
        <v>#N/A</v>
      </c>
      <c r="AN25" s="5" t="e">
        <f>MATCH($A25&amp;"R"&amp;AN$1,'Match Schedule'!$O$11:$O$92,0)</f>
        <v>#N/A</v>
      </c>
      <c r="AO25" s="5" t="e">
        <f>MATCH($A25&amp;"R"&amp;AO$1,'Match Schedule'!$P$11:$P$92,0)</f>
        <v>#N/A</v>
      </c>
      <c r="AP25" s="5" t="e">
        <f>MATCH($A25&amp;"R"&amp;AP$1,'Match Schedule'!$P$11:$P$92,0)</f>
        <v>#N/A</v>
      </c>
      <c r="AQ25" s="5" t="e">
        <f>MATCH($A25&amp;"R"&amp;AQ$1,'Match Schedule'!$P$11:$P$92,0)</f>
        <v>#N/A</v>
      </c>
    </row>
    <row r="26" spans="1:43" ht="12.75">
      <c r="A26" s="51">
        <f>Teams!A26</f>
        <v>25</v>
      </c>
      <c r="B26" s="51">
        <f>Teams!C26</f>
        <v>0</v>
      </c>
      <c r="C26" s="51">
        <f>Teams!B26</f>
        <v>0</v>
      </c>
      <c r="D26" s="65">
        <f t="shared" si="1"/>
      </c>
      <c r="E26" s="65">
        <f t="shared" si="2"/>
      </c>
      <c r="F26" s="65">
        <f t="shared" si="3"/>
      </c>
      <c r="G26" s="65">
        <f t="shared" si="4"/>
      </c>
      <c r="H26" s="65">
        <f t="shared" si="5"/>
      </c>
      <c r="I26" s="65">
        <f t="shared" si="6"/>
      </c>
      <c r="J26" s="65">
        <f t="shared" si="7"/>
      </c>
      <c r="K26" s="66">
        <f t="shared" si="8"/>
        <v>0</v>
      </c>
      <c r="L26" s="51">
        <f t="shared" si="9"/>
        <v>17</v>
      </c>
      <c r="M26" s="51">
        <f t="shared" si="10"/>
        <v>25</v>
      </c>
      <c r="N26" s="51">
        <f t="shared" si="11"/>
        <v>0</v>
      </c>
      <c r="Q26" t="e">
        <f>INDEX('Score List'!$D$4:$D$198,MATCH($A26&amp;"R"&amp;Q$1,'Score List'!$T$4:$T$198,0),1)</f>
        <v>#N/A</v>
      </c>
      <c r="R26" t="e">
        <f>INDEX('Score List'!$D$4:$D$198,MATCH($A26&amp;"R"&amp;R$1,'Score List'!$T$4:$T$198,0),1)</f>
        <v>#N/A</v>
      </c>
      <c r="S26" t="e">
        <f>INDEX('Score List'!$D$4:$D$198,MATCH($A26&amp;"R"&amp;S$1,'Score List'!$T$4:$T$198,0),1)</f>
        <v>#N/A</v>
      </c>
      <c r="T26" t="e">
        <f>INDEX('Score List'!$D$4:$D$198,MATCH($A26&amp;"R"&amp;T$1,'Score List'!$T$4:$T$198,0),1)</f>
        <v>#N/A</v>
      </c>
      <c r="U26" t="e">
        <f>INDEX('Score List'!$D$4:$D$198,MATCH($A26&amp;"R"&amp;U$1,'Score List'!$T$4:$T$198,0),1)</f>
        <v>#N/A</v>
      </c>
      <c r="V26" t="e">
        <f>INDEX('Score List'!$D$4:$D$198,MATCH($A26&amp;"R"&amp;V$1,'Score List'!$T$4:$T$198,0),1)</f>
        <v>#N/A</v>
      </c>
      <c r="W26" t="e">
        <f>INDEX('Score List'!$D$4:$D$198,MATCH($A26&amp;"R"&amp;W$1,'Score List'!$T$4:$T$198,0),1)</f>
        <v>#N/A</v>
      </c>
      <c r="X26" s="71" t="str">
        <f t="shared" si="12"/>
        <v>000</v>
      </c>
      <c r="Y26" s="71" t="str">
        <f t="shared" si="12"/>
        <v>000</v>
      </c>
      <c r="Z26" s="71" t="str">
        <f t="shared" si="12"/>
        <v>000</v>
      </c>
      <c r="AA26" s="71" t="str">
        <f t="shared" si="12"/>
        <v>000</v>
      </c>
      <c r="AB26" s="71" t="str">
        <f t="shared" si="13"/>
        <v>75</v>
      </c>
      <c r="AC26" s="72">
        <f t="shared" si="14"/>
        <v>0</v>
      </c>
      <c r="AD26" s="72">
        <f t="shared" si="15"/>
        <v>75</v>
      </c>
      <c r="AE26" s="51" t="e">
        <f t="shared" si="16"/>
        <v>#N/A</v>
      </c>
      <c r="AF26" s="51" t="e">
        <f t="shared" si="17"/>
        <v>#N/A</v>
      </c>
      <c r="AG26" s="51" t="e">
        <f t="shared" si="18"/>
        <v>#N/A</v>
      </c>
      <c r="AH26" s="122" t="e">
        <f>INDEX('Match Schedule'!$C$11:$C116,IF(ISNUMBER(AL26),AL26,AO26),1)</f>
        <v>#N/A</v>
      </c>
      <c r="AI26" s="122" t="e">
        <f>INDEX('Match Schedule'!$C$11:$C116,IF(ISNUMBER(AM26),AM26,AP26),1)</f>
        <v>#N/A</v>
      </c>
      <c r="AJ26" s="122" t="e">
        <f>INDEX('Match Schedule'!$C$11:$C116,IF(ISNUMBER(AN26),AN26,AQ26),1)</f>
        <v>#N/A</v>
      </c>
      <c r="AK26" s="122" t="e">
        <f t="shared" si="19"/>
        <v>#N/A</v>
      </c>
      <c r="AL26" s="5" t="e">
        <f>MATCH($A26&amp;"R"&amp;AL$1,'Match Schedule'!$O$11:$O$92,0)</f>
        <v>#N/A</v>
      </c>
      <c r="AM26" s="5" t="e">
        <f>MATCH($A26&amp;"R"&amp;AM$1,'Match Schedule'!$O$11:$O$92,0)</f>
        <v>#N/A</v>
      </c>
      <c r="AN26" s="5" t="e">
        <f>MATCH($A26&amp;"R"&amp;AN$1,'Match Schedule'!$O$11:$O$92,0)</f>
        <v>#N/A</v>
      </c>
      <c r="AO26" s="5" t="e">
        <f>MATCH($A26&amp;"R"&amp;AO$1,'Match Schedule'!$P$11:$P$92,0)</f>
        <v>#N/A</v>
      </c>
      <c r="AP26" s="5" t="e">
        <f>MATCH($A26&amp;"R"&amp;AP$1,'Match Schedule'!$P$11:$P$92,0)</f>
        <v>#N/A</v>
      </c>
      <c r="AQ26" s="5" t="e">
        <f>MATCH($A26&amp;"R"&amp;AQ$1,'Match Schedule'!$P$11:$P$92,0)</f>
        <v>#N/A</v>
      </c>
    </row>
    <row r="27" spans="1:43" ht="12.75">
      <c r="A27" s="51">
        <f>Teams!A27</f>
        <v>26</v>
      </c>
      <c r="B27" s="51">
        <f>Teams!C27</f>
        <v>0</v>
      </c>
      <c r="C27" s="51">
        <f>Teams!B27</f>
        <v>0</v>
      </c>
      <c r="D27" s="65">
        <f t="shared" si="1"/>
      </c>
      <c r="E27" s="65">
        <f t="shared" si="2"/>
      </c>
      <c r="F27" s="65">
        <f t="shared" si="3"/>
      </c>
      <c r="G27" s="65">
        <f t="shared" si="4"/>
      </c>
      <c r="H27" s="65">
        <f t="shared" si="5"/>
      </c>
      <c r="I27" s="65">
        <f t="shared" si="6"/>
      </c>
      <c r="J27" s="65">
        <f t="shared" si="7"/>
      </c>
      <c r="K27" s="66">
        <f t="shared" si="8"/>
        <v>0</v>
      </c>
      <c r="L27" s="51">
        <f t="shared" si="9"/>
        <v>17</v>
      </c>
      <c r="M27" s="51">
        <f t="shared" si="10"/>
        <v>26</v>
      </c>
      <c r="N27" s="51">
        <f t="shared" si="11"/>
        <v>0</v>
      </c>
      <c r="Q27" t="e">
        <f>INDEX('Score List'!$D$4:$D$198,MATCH($A27&amp;"R"&amp;Q$1,'Score List'!$T$4:$T$198,0),1)</f>
        <v>#N/A</v>
      </c>
      <c r="R27" t="e">
        <f>INDEX('Score List'!$D$4:$D$198,MATCH($A27&amp;"R"&amp;R$1,'Score List'!$T$4:$T$198,0),1)</f>
        <v>#N/A</v>
      </c>
      <c r="S27" t="e">
        <f>INDEX('Score List'!$D$4:$D$198,MATCH($A27&amp;"R"&amp;S$1,'Score List'!$T$4:$T$198,0),1)</f>
        <v>#N/A</v>
      </c>
      <c r="T27" t="e">
        <f>INDEX('Score List'!$D$4:$D$198,MATCH($A27&amp;"R"&amp;T$1,'Score List'!$T$4:$T$198,0),1)</f>
        <v>#N/A</v>
      </c>
      <c r="U27" t="e">
        <f>INDEX('Score List'!$D$4:$D$198,MATCH($A27&amp;"R"&amp;U$1,'Score List'!$T$4:$T$198,0),1)</f>
        <v>#N/A</v>
      </c>
      <c r="V27" t="e">
        <f>INDEX('Score List'!$D$4:$D$198,MATCH($A27&amp;"R"&amp;V$1,'Score List'!$T$4:$T$198,0),1)</f>
        <v>#N/A</v>
      </c>
      <c r="W27" t="e">
        <f>INDEX('Score List'!$D$4:$D$198,MATCH($A27&amp;"R"&amp;W$1,'Score List'!$T$4:$T$198,0),1)</f>
        <v>#N/A</v>
      </c>
      <c r="X27" s="71" t="str">
        <f t="shared" si="12"/>
        <v>000</v>
      </c>
      <c r="Y27" s="71" t="str">
        <f t="shared" si="12"/>
        <v>000</v>
      </c>
      <c r="Z27" s="71" t="str">
        <f t="shared" si="12"/>
        <v>000</v>
      </c>
      <c r="AA27" s="71" t="str">
        <f t="shared" si="12"/>
        <v>000</v>
      </c>
      <c r="AB27" s="71" t="str">
        <f t="shared" si="13"/>
        <v>74</v>
      </c>
      <c r="AC27" s="72">
        <f t="shared" si="14"/>
        <v>0</v>
      </c>
      <c r="AD27" s="72">
        <f t="shared" si="15"/>
        <v>74</v>
      </c>
      <c r="AE27" s="51" t="e">
        <f t="shared" si="16"/>
        <v>#N/A</v>
      </c>
      <c r="AF27" s="51" t="e">
        <f t="shared" si="17"/>
        <v>#N/A</v>
      </c>
      <c r="AG27" s="51" t="e">
        <f t="shared" si="18"/>
        <v>#N/A</v>
      </c>
      <c r="AH27" s="122" t="e">
        <f>INDEX('Match Schedule'!$C$11:$C117,IF(ISNUMBER(AL27),AL27,AO27),1)</f>
        <v>#N/A</v>
      </c>
      <c r="AI27" s="122" t="e">
        <f>INDEX('Match Schedule'!$C$11:$C117,IF(ISNUMBER(AM27),AM27,AP27),1)</f>
        <v>#N/A</v>
      </c>
      <c r="AJ27" s="122" t="e">
        <f>INDEX('Match Schedule'!$C$11:$C117,IF(ISNUMBER(AN27),AN27,AQ27),1)</f>
        <v>#N/A</v>
      </c>
      <c r="AK27" s="122" t="e">
        <f t="shared" si="19"/>
        <v>#N/A</v>
      </c>
      <c r="AL27" s="5" t="e">
        <f>MATCH($A27&amp;"R"&amp;AL$1,'Match Schedule'!$O$11:$O$92,0)</f>
        <v>#N/A</v>
      </c>
      <c r="AM27" s="5" t="e">
        <f>MATCH($A27&amp;"R"&amp;AM$1,'Match Schedule'!$O$11:$O$92,0)</f>
        <v>#N/A</v>
      </c>
      <c r="AN27" s="5" t="e">
        <f>MATCH($A27&amp;"R"&amp;AN$1,'Match Schedule'!$O$11:$O$92,0)</f>
        <v>#N/A</v>
      </c>
      <c r="AO27" s="5" t="e">
        <f>MATCH($A27&amp;"R"&amp;AO$1,'Match Schedule'!$P$11:$P$92,0)</f>
        <v>#N/A</v>
      </c>
      <c r="AP27" s="5" t="e">
        <f>MATCH($A27&amp;"R"&amp;AP$1,'Match Schedule'!$P$11:$P$92,0)</f>
        <v>#N/A</v>
      </c>
      <c r="AQ27" s="5" t="e">
        <f>MATCH($A27&amp;"R"&amp;AQ$1,'Match Schedule'!$P$11:$P$92,0)</f>
        <v>#N/A</v>
      </c>
    </row>
    <row r="28" spans="1:43" ht="12.75">
      <c r="A28" s="51">
        <f>Teams!A28</f>
        <v>27</v>
      </c>
      <c r="B28" s="51">
        <f>Teams!C28</f>
        <v>0</v>
      </c>
      <c r="C28" s="51">
        <f>Teams!B28</f>
        <v>0</v>
      </c>
      <c r="D28" s="65">
        <f t="shared" si="1"/>
      </c>
      <c r="E28" s="65">
        <f t="shared" si="2"/>
      </c>
      <c r="F28" s="65">
        <f t="shared" si="3"/>
      </c>
      <c r="G28" s="65">
        <f t="shared" si="4"/>
      </c>
      <c r="H28" s="65">
        <f t="shared" si="5"/>
      </c>
      <c r="I28" s="65">
        <f t="shared" si="6"/>
      </c>
      <c r="J28" s="65">
        <f t="shared" si="7"/>
      </c>
      <c r="K28" s="66">
        <f t="shared" si="8"/>
        <v>0</v>
      </c>
      <c r="L28" s="51">
        <f t="shared" si="9"/>
        <v>17</v>
      </c>
      <c r="M28" s="51">
        <f t="shared" si="10"/>
        <v>27</v>
      </c>
      <c r="N28" s="51">
        <f t="shared" si="11"/>
        <v>0</v>
      </c>
      <c r="Q28" t="e">
        <f>INDEX('Score List'!$D$4:$D$198,MATCH($A28&amp;"R"&amp;Q$1,'Score List'!$T$4:$T$198,0),1)</f>
        <v>#N/A</v>
      </c>
      <c r="R28" t="e">
        <f>INDEX('Score List'!$D$4:$D$198,MATCH($A28&amp;"R"&amp;R$1,'Score List'!$T$4:$T$198,0),1)</f>
        <v>#N/A</v>
      </c>
      <c r="S28" t="e">
        <f>INDEX('Score List'!$D$4:$D$198,MATCH($A28&amp;"R"&amp;S$1,'Score List'!$T$4:$T$198,0),1)</f>
        <v>#N/A</v>
      </c>
      <c r="T28" t="e">
        <f>INDEX('Score List'!$D$4:$D$198,MATCH($A28&amp;"R"&amp;T$1,'Score List'!$T$4:$T$198,0),1)</f>
        <v>#N/A</v>
      </c>
      <c r="U28" t="e">
        <f>INDEX('Score List'!$D$4:$D$198,MATCH($A28&amp;"R"&amp;U$1,'Score List'!$T$4:$T$198,0),1)</f>
        <v>#N/A</v>
      </c>
      <c r="V28" t="e">
        <f>INDEX('Score List'!$D$4:$D$198,MATCH($A28&amp;"R"&amp;V$1,'Score List'!$T$4:$T$198,0),1)</f>
        <v>#N/A</v>
      </c>
      <c r="W28" t="e">
        <f>INDEX('Score List'!$D$4:$D$198,MATCH($A28&amp;"R"&amp;W$1,'Score List'!$T$4:$T$198,0),1)</f>
        <v>#N/A</v>
      </c>
      <c r="X28" s="71" t="str">
        <f t="shared" si="12"/>
        <v>000</v>
      </c>
      <c r="Y28" s="71" t="str">
        <f t="shared" si="12"/>
        <v>000</v>
      </c>
      <c r="Z28" s="71" t="str">
        <f t="shared" si="12"/>
        <v>000</v>
      </c>
      <c r="AA28" s="71" t="str">
        <f t="shared" si="12"/>
        <v>000</v>
      </c>
      <c r="AB28" s="71" t="str">
        <f t="shared" si="13"/>
        <v>73</v>
      </c>
      <c r="AC28" s="72">
        <f t="shared" si="14"/>
        <v>0</v>
      </c>
      <c r="AD28" s="72">
        <f t="shared" si="15"/>
        <v>73</v>
      </c>
      <c r="AE28" s="51" t="e">
        <f t="shared" si="16"/>
        <v>#N/A</v>
      </c>
      <c r="AF28" s="51" t="e">
        <f t="shared" si="17"/>
        <v>#N/A</v>
      </c>
      <c r="AG28" s="51" t="e">
        <f t="shared" si="18"/>
        <v>#N/A</v>
      </c>
      <c r="AH28" s="122" t="e">
        <f>INDEX('Match Schedule'!$C$11:$C118,IF(ISNUMBER(AL28),AL28,AO28),1)</f>
        <v>#N/A</v>
      </c>
      <c r="AI28" s="122" t="e">
        <f>INDEX('Match Schedule'!$C$11:$C118,IF(ISNUMBER(AM28),AM28,AP28),1)</f>
        <v>#N/A</v>
      </c>
      <c r="AJ28" s="122" t="e">
        <f>INDEX('Match Schedule'!$C$11:$C118,IF(ISNUMBER(AN28),AN28,AQ28),1)</f>
        <v>#N/A</v>
      </c>
      <c r="AK28" s="122" t="e">
        <f t="shared" si="19"/>
        <v>#N/A</v>
      </c>
      <c r="AL28" s="5" t="e">
        <f>MATCH($A28&amp;"R"&amp;AL$1,'Match Schedule'!$O$11:$O$92,0)</f>
        <v>#N/A</v>
      </c>
      <c r="AM28" s="5" t="e">
        <f>MATCH($A28&amp;"R"&amp;AM$1,'Match Schedule'!$O$11:$O$92,0)</f>
        <v>#N/A</v>
      </c>
      <c r="AN28" s="5" t="e">
        <f>MATCH($A28&amp;"R"&amp;AN$1,'Match Schedule'!$O$11:$O$92,0)</f>
        <v>#N/A</v>
      </c>
      <c r="AO28" s="5" t="e">
        <f>MATCH($A28&amp;"R"&amp;AO$1,'Match Schedule'!$P$11:$P$92,0)</f>
        <v>#N/A</v>
      </c>
      <c r="AP28" s="5" t="e">
        <f>MATCH($A28&amp;"R"&amp;AP$1,'Match Schedule'!$P$11:$P$92,0)</f>
        <v>#N/A</v>
      </c>
      <c r="AQ28" s="5" t="e">
        <f>MATCH($A28&amp;"R"&amp;AQ$1,'Match Schedule'!$P$11:$P$92,0)</f>
        <v>#N/A</v>
      </c>
    </row>
    <row r="29" spans="1:43" ht="12.75">
      <c r="A29" s="51">
        <f>Teams!A29</f>
        <v>28</v>
      </c>
      <c r="B29" s="51">
        <f>Teams!C29</f>
        <v>0</v>
      </c>
      <c r="C29" s="51">
        <f>Teams!B29</f>
        <v>0</v>
      </c>
      <c r="D29" s="65">
        <f t="shared" si="1"/>
      </c>
      <c r="E29" s="65">
        <f t="shared" si="2"/>
      </c>
      <c r="F29" s="65">
        <f t="shared" si="3"/>
      </c>
      <c r="G29" s="65">
        <f t="shared" si="4"/>
      </c>
      <c r="H29" s="65">
        <f t="shared" si="5"/>
      </c>
      <c r="I29" s="65">
        <f t="shared" si="6"/>
      </c>
      <c r="J29" s="65">
        <f t="shared" si="7"/>
      </c>
      <c r="K29" s="66">
        <f t="shared" si="8"/>
        <v>0</v>
      </c>
      <c r="L29" s="51">
        <f t="shared" si="9"/>
        <v>17</v>
      </c>
      <c r="M29" s="51">
        <f t="shared" si="10"/>
        <v>28</v>
      </c>
      <c r="N29" s="51">
        <f t="shared" si="11"/>
        <v>0</v>
      </c>
      <c r="Q29" t="e">
        <f>INDEX('Score List'!$D$4:$D$198,MATCH($A29&amp;"R"&amp;Q$1,'Score List'!$T$4:$T$198,0),1)</f>
        <v>#N/A</v>
      </c>
      <c r="R29" t="e">
        <f>INDEX('Score List'!$D$4:$D$198,MATCH($A29&amp;"R"&amp;R$1,'Score List'!$T$4:$T$198,0),1)</f>
        <v>#N/A</v>
      </c>
      <c r="S29" t="e">
        <f>INDEX('Score List'!$D$4:$D$198,MATCH($A29&amp;"R"&amp;S$1,'Score List'!$T$4:$T$198,0),1)</f>
        <v>#N/A</v>
      </c>
      <c r="T29" t="e">
        <f>INDEX('Score List'!$D$4:$D$198,MATCH($A29&amp;"R"&amp;T$1,'Score List'!$T$4:$T$198,0),1)</f>
        <v>#N/A</v>
      </c>
      <c r="U29" t="e">
        <f>INDEX('Score List'!$D$4:$D$198,MATCH($A29&amp;"R"&amp;U$1,'Score List'!$T$4:$T$198,0),1)</f>
        <v>#N/A</v>
      </c>
      <c r="V29" t="e">
        <f>INDEX('Score List'!$D$4:$D$198,MATCH($A29&amp;"R"&amp;V$1,'Score List'!$T$4:$T$198,0),1)</f>
        <v>#N/A</v>
      </c>
      <c r="W29" t="e">
        <f>INDEX('Score List'!$D$4:$D$198,MATCH($A29&amp;"R"&amp;W$1,'Score List'!$T$4:$T$198,0),1)</f>
        <v>#N/A</v>
      </c>
      <c r="X29" s="71" t="str">
        <f t="shared" si="12"/>
        <v>000</v>
      </c>
      <c r="Y29" s="71" t="str">
        <f t="shared" si="12"/>
        <v>000</v>
      </c>
      <c r="Z29" s="71" t="str">
        <f t="shared" si="12"/>
        <v>000</v>
      </c>
      <c r="AA29" s="71" t="str">
        <f t="shared" si="12"/>
        <v>000</v>
      </c>
      <c r="AB29" s="71" t="str">
        <f t="shared" si="13"/>
        <v>72</v>
      </c>
      <c r="AC29" s="72">
        <f t="shared" si="14"/>
        <v>0</v>
      </c>
      <c r="AD29" s="72">
        <f t="shared" si="15"/>
        <v>72</v>
      </c>
      <c r="AE29" s="51" t="e">
        <f t="shared" si="16"/>
        <v>#N/A</v>
      </c>
      <c r="AF29" s="51" t="e">
        <f t="shared" si="17"/>
        <v>#N/A</v>
      </c>
      <c r="AG29" s="51" t="e">
        <f t="shared" si="18"/>
        <v>#N/A</v>
      </c>
      <c r="AH29" s="122" t="e">
        <f>INDEX('Match Schedule'!$C$11:$C119,IF(ISNUMBER(AL29),AL29,AO29),1)</f>
        <v>#N/A</v>
      </c>
      <c r="AI29" s="122" t="e">
        <f>INDEX('Match Schedule'!$C$11:$C119,IF(ISNUMBER(AM29),AM29,AP29),1)</f>
        <v>#N/A</v>
      </c>
      <c r="AJ29" s="122" t="e">
        <f>INDEX('Match Schedule'!$C$11:$C119,IF(ISNUMBER(AN29),AN29,AQ29),1)</f>
        <v>#N/A</v>
      </c>
      <c r="AK29" s="122" t="e">
        <f t="shared" si="19"/>
        <v>#N/A</v>
      </c>
      <c r="AL29" s="5" t="e">
        <f>MATCH($A29&amp;"R"&amp;AL$1,'Match Schedule'!$O$11:$O$92,0)</f>
        <v>#N/A</v>
      </c>
      <c r="AM29" s="5" t="e">
        <f>MATCH($A29&amp;"R"&amp;AM$1,'Match Schedule'!$O$11:$O$92,0)</f>
        <v>#N/A</v>
      </c>
      <c r="AN29" s="5" t="e">
        <f>MATCH($A29&amp;"R"&amp;AN$1,'Match Schedule'!$O$11:$O$92,0)</f>
        <v>#N/A</v>
      </c>
      <c r="AO29" s="5" t="e">
        <f>MATCH($A29&amp;"R"&amp;AO$1,'Match Schedule'!$P$11:$P$92,0)</f>
        <v>#N/A</v>
      </c>
      <c r="AP29" s="5" t="e">
        <f>MATCH($A29&amp;"R"&amp;AP$1,'Match Schedule'!$P$11:$P$92,0)</f>
        <v>#N/A</v>
      </c>
      <c r="AQ29" s="5" t="e">
        <f>MATCH($A29&amp;"R"&amp;AQ$1,'Match Schedule'!$P$11:$P$92,0)</f>
        <v>#N/A</v>
      </c>
    </row>
    <row r="30" spans="1:43" ht="12.75">
      <c r="A30" s="51">
        <f>Teams!A30</f>
        <v>29</v>
      </c>
      <c r="B30" s="51">
        <f>Teams!C30</f>
        <v>0</v>
      </c>
      <c r="C30" s="51">
        <f>Teams!B30</f>
        <v>0</v>
      </c>
      <c r="D30" s="65">
        <f t="shared" si="1"/>
      </c>
      <c r="E30" s="65">
        <f t="shared" si="2"/>
      </c>
      <c r="F30" s="65">
        <f t="shared" si="3"/>
      </c>
      <c r="G30" s="65">
        <f t="shared" si="4"/>
      </c>
      <c r="H30" s="65">
        <f t="shared" si="5"/>
      </c>
      <c r="I30" s="65">
        <f t="shared" si="6"/>
      </c>
      <c r="J30" s="65">
        <f t="shared" si="7"/>
      </c>
      <c r="K30" s="66">
        <f t="shared" si="8"/>
        <v>0</v>
      </c>
      <c r="L30" s="51">
        <f t="shared" si="9"/>
        <v>17</v>
      </c>
      <c r="M30" s="51">
        <f t="shared" si="10"/>
        <v>29</v>
      </c>
      <c r="N30" s="51">
        <f t="shared" si="11"/>
        <v>0</v>
      </c>
      <c r="Q30" t="e">
        <f>INDEX('Score List'!$D$4:$D$198,MATCH($A30&amp;"R"&amp;Q$1,'Score List'!$T$4:$T$198,0),1)</f>
        <v>#N/A</v>
      </c>
      <c r="R30" t="e">
        <f>INDEX('Score List'!$D$4:$D$198,MATCH($A30&amp;"R"&amp;R$1,'Score List'!$T$4:$T$198,0),1)</f>
        <v>#N/A</v>
      </c>
      <c r="S30" t="e">
        <f>INDEX('Score List'!$D$4:$D$198,MATCH($A30&amp;"R"&amp;S$1,'Score List'!$T$4:$T$198,0),1)</f>
        <v>#N/A</v>
      </c>
      <c r="T30" t="e">
        <f>INDEX('Score List'!$D$4:$D$198,MATCH($A30&amp;"R"&amp;T$1,'Score List'!$T$4:$T$198,0),1)</f>
        <v>#N/A</v>
      </c>
      <c r="U30" t="e">
        <f>INDEX('Score List'!$D$4:$D$198,MATCH($A30&amp;"R"&amp;U$1,'Score List'!$T$4:$T$198,0),1)</f>
        <v>#N/A</v>
      </c>
      <c r="V30" t="e">
        <f>INDEX('Score List'!$D$4:$D$198,MATCH($A30&amp;"R"&amp;V$1,'Score List'!$T$4:$T$198,0),1)</f>
        <v>#N/A</v>
      </c>
      <c r="W30" t="e">
        <f>INDEX('Score List'!$D$4:$D$198,MATCH($A30&amp;"R"&amp;W$1,'Score List'!$T$4:$T$198,0),1)</f>
        <v>#N/A</v>
      </c>
      <c r="X30" s="71" t="str">
        <f t="shared" si="12"/>
        <v>000</v>
      </c>
      <c r="Y30" s="71" t="str">
        <f t="shared" si="12"/>
        <v>000</v>
      </c>
      <c r="Z30" s="71" t="str">
        <f t="shared" si="12"/>
        <v>000</v>
      </c>
      <c r="AA30" s="71" t="str">
        <f t="shared" si="12"/>
        <v>000</v>
      </c>
      <c r="AB30" s="71" t="str">
        <f t="shared" si="13"/>
        <v>71</v>
      </c>
      <c r="AC30" s="72">
        <f t="shared" si="14"/>
        <v>0</v>
      </c>
      <c r="AD30" s="72">
        <f t="shared" si="15"/>
        <v>71</v>
      </c>
      <c r="AE30" s="51" t="e">
        <f t="shared" si="16"/>
        <v>#N/A</v>
      </c>
      <c r="AF30" s="51" t="e">
        <f t="shared" si="17"/>
        <v>#N/A</v>
      </c>
      <c r="AG30" s="51" t="e">
        <f t="shared" si="18"/>
        <v>#N/A</v>
      </c>
      <c r="AH30" s="122" t="e">
        <f>INDEX('Match Schedule'!$C$11:$C120,IF(ISNUMBER(AL30),AL30,AO30),1)</f>
        <v>#N/A</v>
      </c>
      <c r="AI30" s="122" t="e">
        <f>INDEX('Match Schedule'!$C$11:$C120,IF(ISNUMBER(AM30),AM30,AP30),1)</f>
        <v>#N/A</v>
      </c>
      <c r="AJ30" s="122" t="e">
        <f>INDEX('Match Schedule'!$C$11:$C120,IF(ISNUMBER(AN30),AN30,AQ30),1)</f>
        <v>#N/A</v>
      </c>
      <c r="AK30" s="122" t="e">
        <f t="shared" si="19"/>
        <v>#N/A</v>
      </c>
      <c r="AL30" s="5" t="e">
        <f>MATCH($A30&amp;"R"&amp;AL$1,'Match Schedule'!$O$11:$O$92,0)</f>
        <v>#N/A</v>
      </c>
      <c r="AM30" s="5" t="e">
        <f>MATCH($A30&amp;"R"&amp;AM$1,'Match Schedule'!$O$11:$O$92,0)</f>
        <v>#N/A</v>
      </c>
      <c r="AN30" s="5" t="e">
        <f>MATCH($A30&amp;"R"&amp;AN$1,'Match Schedule'!$O$11:$O$92,0)</f>
        <v>#N/A</v>
      </c>
      <c r="AO30" s="5" t="e">
        <f>MATCH($A30&amp;"R"&amp;AO$1,'Match Schedule'!$P$11:$P$92,0)</f>
        <v>#N/A</v>
      </c>
      <c r="AP30" s="5" t="e">
        <f>MATCH($A30&amp;"R"&amp;AP$1,'Match Schedule'!$P$11:$P$92,0)</f>
        <v>#N/A</v>
      </c>
      <c r="AQ30" s="5" t="e">
        <f>MATCH($A30&amp;"R"&amp;AQ$1,'Match Schedule'!$P$11:$P$92,0)</f>
        <v>#N/A</v>
      </c>
    </row>
    <row r="31" spans="1:43" ht="12.75">
      <c r="A31" s="51">
        <f>Teams!A31</f>
        <v>30</v>
      </c>
      <c r="B31" s="51">
        <f>Teams!C31</f>
        <v>0</v>
      </c>
      <c r="C31" s="51">
        <f>Teams!B31</f>
        <v>0</v>
      </c>
      <c r="D31" s="65">
        <f aca="true" t="shared" si="20" ref="D31:J31">IF(ISNA(Q31),"",Q31)</f>
      </c>
      <c r="E31" s="65">
        <f t="shared" si="20"/>
      </c>
      <c r="F31" s="65">
        <f t="shared" si="20"/>
      </c>
      <c r="G31" s="65">
        <f t="shared" si="20"/>
      </c>
      <c r="H31" s="65">
        <f t="shared" si="20"/>
      </c>
      <c r="I31" s="65">
        <f t="shared" si="20"/>
      </c>
      <c r="J31" s="65">
        <f t="shared" si="20"/>
      </c>
      <c r="K31" s="66">
        <f t="shared" si="8"/>
        <v>0</v>
      </c>
      <c r="L31" s="51">
        <f t="shared" si="9"/>
        <v>17</v>
      </c>
      <c r="M31" s="51">
        <f t="shared" si="10"/>
        <v>30</v>
      </c>
      <c r="N31" s="51">
        <f t="shared" si="11"/>
        <v>0</v>
      </c>
      <c r="Q31" t="e">
        <f>INDEX('Score List'!$D$4:$D$198,MATCH($A31&amp;"R"&amp;Q$1,'Score List'!$T$4:$T$198,0),1)</f>
        <v>#N/A</v>
      </c>
      <c r="R31" t="e">
        <f>INDEX('Score List'!$D$4:$D$198,MATCH($A31&amp;"R"&amp;R$1,'Score List'!$T$4:$T$198,0),1)</f>
        <v>#N/A</v>
      </c>
      <c r="S31" t="e">
        <f>INDEX('Score List'!$D$4:$D$198,MATCH($A31&amp;"R"&amp;S$1,'Score List'!$T$4:$T$198,0),1)</f>
        <v>#N/A</v>
      </c>
      <c r="T31" t="e">
        <f>INDEX('Score List'!$D$4:$D$198,MATCH($A31&amp;"R"&amp;T$1,'Score List'!$T$4:$T$198,0),1)</f>
        <v>#N/A</v>
      </c>
      <c r="U31" t="e">
        <f>INDEX('Score List'!$D$4:$D$198,MATCH($A31&amp;"R"&amp;U$1,'Score List'!$T$4:$T$198,0),1)</f>
        <v>#N/A</v>
      </c>
      <c r="V31" t="e">
        <f>INDEX('Score List'!$D$4:$D$198,MATCH($A31&amp;"R"&amp;V$1,'Score List'!$T$4:$T$198,0),1)</f>
        <v>#N/A</v>
      </c>
      <c r="W31" t="e">
        <f>INDEX('Score List'!$D$4:$D$198,MATCH($A31&amp;"R"&amp;W$1,'Score List'!$T$4:$T$198,0),1)</f>
        <v>#N/A</v>
      </c>
      <c r="X31" s="71" t="str">
        <f t="shared" si="12"/>
        <v>000</v>
      </c>
      <c r="Y31" s="71" t="str">
        <f t="shared" si="12"/>
        <v>000</v>
      </c>
      <c r="Z31" s="71" t="str">
        <f t="shared" si="12"/>
        <v>000</v>
      </c>
      <c r="AA31" s="71" t="str">
        <f t="shared" si="12"/>
        <v>000</v>
      </c>
      <c r="AB31" s="71" t="str">
        <f t="shared" si="13"/>
        <v>70</v>
      </c>
      <c r="AC31" s="72">
        <f t="shared" si="14"/>
        <v>0</v>
      </c>
      <c r="AD31" s="72">
        <f t="shared" si="15"/>
        <v>70</v>
      </c>
      <c r="AE31" s="51" t="e">
        <f t="shared" si="16"/>
        <v>#N/A</v>
      </c>
      <c r="AF31" s="51" t="e">
        <f t="shared" si="17"/>
        <v>#N/A</v>
      </c>
      <c r="AG31" s="51" t="e">
        <f t="shared" si="18"/>
        <v>#N/A</v>
      </c>
      <c r="AH31" s="122" t="e">
        <f>INDEX('Match Schedule'!$C$11:$C121,IF(ISNUMBER(AL31),AL31,AO31),1)</f>
        <v>#N/A</v>
      </c>
      <c r="AI31" s="122" t="e">
        <f>INDEX('Match Schedule'!$C$11:$C121,IF(ISNUMBER(AM31),AM31,AP31),1)</f>
        <v>#N/A</v>
      </c>
      <c r="AJ31" s="122" t="e">
        <f>INDEX('Match Schedule'!$C$11:$C121,IF(ISNUMBER(AN31),AN31,AQ31),1)</f>
        <v>#N/A</v>
      </c>
      <c r="AK31" s="122" t="e">
        <f t="shared" si="19"/>
        <v>#N/A</v>
      </c>
      <c r="AL31" s="5" t="e">
        <f>MATCH($A31&amp;"R"&amp;AL$1,'Match Schedule'!$O$11:$O$92,0)</f>
        <v>#N/A</v>
      </c>
      <c r="AM31" s="5" t="e">
        <f>MATCH($A31&amp;"R"&amp;AM$1,'Match Schedule'!$O$11:$O$92,0)</f>
        <v>#N/A</v>
      </c>
      <c r="AN31" s="5" t="e">
        <f>MATCH($A31&amp;"R"&amp;AN$1,'Match Schedule'!$O$11:$O$92,0)</f>
        <v>#N/A</v>
      </c>
      <c r="AO31" s="5" t="e">
        <f>MATCH($A31&amp;"R"&amp;AO$1,'Match Schedule'!$P$11:$P$92,0)</f>
        <v>#N/A</v>
      </c>
      <c r="AP31" s="5" t="e">
        <f>MATCH($A31&amp;"R"&amp;AP$1,'Match Schedule'!$P$11:$P$92,0)</f>
        <v>#N/A</v>
      </c>
      <c r="AQ31" s="5" t="e">
        <f>MATCH($A31&amp;"R"&amp;AQ$1,'Match Schedule'!$P$11:$P$92,0)</f>
        <v>#N/A</v>
      </c>
    </row>
    <row r="32" ht="12.75">
      <c r="A32" s="68" t="s">
        <v>63</v>
      </c>
    </row>
    <row r="33" spans="1:33" ht="12.75">
      <c r="A33" s="62" t="s">
        <v>57</v>
      </c>
      <c r="B33" s="62" t="s">
        <v>41</v>
      </c>
      <c r="C33" s="62" t="s">
        <v>42</v>
      </c>
      <c r="D33" s="62">
        <v>1</v>
      </c>
      <c r="E33" s="62">
        <v>2</v>
      </c>
      <c r="F33" s="62">
        <v>3</v>
      </c>
      <c r="G33" s="62">
        <v>4</v>
      </c>
      <c r="H33" s="62">
        <v>5</v>
      </c>
      <c r="I33" s="62">
        <v>6</v>
      </c>
      <c r="J33" s="62">
        <v>7</v>
      </c>
      <c r="K33" s="63" t="s">
        <v>58</v>
      </c>
      <c r="L33" s="64" t="s">
        <v>59</v>
      </c>
      <c r="M33" s="69" t="s">
        <v>60</v>
      </c>
      <c r="N33" s="69" t="s">
        <v>69</v>
      </c>
      <c r="O33" s="69" t="s">
        <v>64</v>
      </c>
      <c r="AE33" s="62">
        <v>1</v>
      </c>
      <c r="AF33" s="62">
        <v>2</v>
      </c>
      <c r="AG33" s="62">
        <v>3</v>
      </c>
    </row>
    <row r="34" spans="1:33" ht="12.75">
      <c r="A34" s="51">
        <f aca="true" ca="1" t="shared" si="21" ref="A34:L34">OFFSET(A$1,$O34,0)</f>
        <v>1</v>
      </c>
      <c r="B34" s="51">
        <f ca="1" t="shared" si="21"/>
        <v>353</v>
      </c>
      <c r="C34" s="51" t="str">
        <f ca="1" t="shared" si="21"/>
        <v>The Cyborgs</v>
      </c>
      <c r="D34" s="51">
        <f ca="1" t="shared" si="21"/>
        <v>152</v>
      </c>
      <c r="E34" s="51">
        <f ca="1" t="shared" si="21"/>
        <v>122</v>
      </c>
      <c r="F34" s="51">
        <f ca="1" t="shared" si="21"/>
        <v>150</v>
      </c>
      <c r="G34" s="51">
        <f ca="1" t="shared" si="21"/>
      </c>
      <c r="H34" s="51">
        <f ca="1" t="shared" si="21"/>
      </c>
      <c r="I34" s="51">
        <f ca="1" t="shared" si="21"/>
      </c>
      <c r="J34" s="51">
        <f ca="1" t="shared" si="21"/>
      </c>
      <c r="K34" s="51">
        <f ca="1" t="shared" si="21"/>
        <v>152</v>
      </c>
      <c r="L34" s="51">
        <f ca="1" t="shared" si="21"/>
        <v>1</v>
      </c>
      <c r="M34" s="51">
        <v>1</v>
      </c>
      <c r="N34" s="51">
        <f aca="true" ca="1" t="shared" si="22" ref="N34:N49">OFFSET(N$1,$O34,0)</f>
        <v>3</v>
      </c>
      <c r="O34" s="51">
        <f>MATCH(M34,$M$2:$M$31,0)</f>
        <v>1</v>
      </c>
      <c r="Q34" s="51">
        <f aca="true" ca="1" t="shared" si="23" ref="Q34:V49">OFFSET(Q$1,$O34,0)</f>
        <v>152</v>
      </c>
      <c r="R34" s="51">
        <f ca="1" t="shared" si="23"/>
        <v>122</v>
      </c>
      <c r="S34" s="51">
        <f ca="1" t="shared" si="23"/>
        <v>150</v>
      </c>
      <c r="T34" s="51" t="e">
        <f ca="1" t="shared" si="23"/>
        <v>#N/A</v>
      </c>
      <c r="U34" s="51" t="e">
        <f ca="1" t="shared" si="23"/>
        <v>#N/A</v>
      </c>
      <c r="V34" s="51" t="e">
        <f ca="1" t="shared" si="23"/>
        <v>#N/A</v>
      </c>
      <c r="W34" s="51"/>
      <c r="AE34" s="51">
        <f aca="true" ca="1" t="shared" si="24" ref="AE34:AG49">OFFSET(AE$1,$A34,0)</f>
        <v>152</v>
      </c>
      <c r="AF34" s="51">
        <f ca="1" t="shared" si="24"/>
        <v>122</v>
      </c>
      <c r="AG34" s="51">
        <f ca="1" t="shared" si="24"/>
        <v>150</v>
      </c>
    </row>
    <row r="35" spans="1:33" ht="12.75">
      <c r="A35" s="51">
        <f aca="true" ca="1" t="shared" si="25" ref="A35:L63">OFFSET(A$1,$O35,0)</f>
        <v>16</v>
      </c>
      <c r="B35" s="51">
        <f ca="1" t="shared" si="25"/>
        <v>6134</v>
      </c>
      <c r="C35" s="51" t="str">
        <f ca="1" t="shared" si="25"/>
        <v>Lightning Bots</v>
      </c>
      <c r="D35" s="51">
        <f aca="true" ca="1" t="shared" si="26" ref="D35:L49">OFFSET(D$1,$O35,0)</f>
        <v>90</v>
      </c>
      <c r="E35" s="51">
        <f ca="1" t="shared" si="26"/>
        <v>135</v>
      </c>
      <c r="F35" s="51">
        <f ca="1" t="shared" si="26"/>
        <v>150</v>
      </c>
      <c r="G35" s="51">
        <f ca="1" t="shared" si="26"/>
      </c>
      <c r="H35" s="51">
        <f ca="1" t="shared" si="26"/>
      </c>
      <c r="I35" s="51">
        <f ca="1" t="shared" si="26"/>
      </c>
      <c r="J35" s="51">
        <f ca="1" t="shared" si="26"/>
      </c>
      <c r="K35" s="51">
        <f ca="1" t="shared" si="26"/>
        <v>150</v>
      </c>
      <c r="L35" s="51">
        <f aca="true" ca="1" t="shared" si="27" ref="L35:L46">OFFSET(L$1,$O35,0)</f>
        <v>2</v>
      </c>
      <c r="M35" s="51">
        <v>2</v>
      </c>
      <c r="N35" s="51">
        <f ca="1" t="shared" si="22"/>
        <v>3</v>
      </c>
      <c r="O35" s="51">
        <f aca="true" t="shared" si="28" ref="O35:O63">MATCH(M35,$M$2:$M$31,0)</f>
        <v>16</v>
      </c>
      <c r="Q35" s="51">
        <f ca="1" t="shared" si="23"/>
        <v>90</v>
      </c>
      <c r="R35" s="51">
        <f ca="1" t="shared" si="23"/>
        <v>135</v>
      </c>
      <c r="S35" s="51">
        <f ca="1" t="shared" si="23"/>
        <v>150</v>
      </c>
      <c r="T35" s="51" t="e">
        <f ca="1" t="shared" si="23"/>
        <v>#N/A</v>
      </c>
      <c r="U35" s="51" t="e">
        <f ca="1" t="shared" si="23"/>
        <v>#N/A</v>
      </c>
      <c r="V35" s="51" t="e">
        <f ca="1" t="shared" si="23"/>
        <v>#N/A</v>
      </c>
      <c r="W35" s="51"/>
      <c r="AE35" s="51">
        <f ca="1" t="shared" si="24"/>
        <v>90</v>
      </c>
      <c r="AF35" s="51">
        <f ca="1" t="shared" si="24"/>
        <v>135</v>
      </c>
      <c r="AG35" s="51">
        <f ca="1" t="shared" si="24"/>
        <v>150</v>
      </c>
    </row>
    <row r="36" spans="1:33" ht="12.75">
      <c r="A36" s="51">
        <f ca="1" t="shared" si="25"/>
        <v>11</v>
      </c>
      <c r="B36" s="51">
        <f ca="1" t="shared" si="25"/>
        <v>8627</v>
      </c>
      <c r="C36" s="51" t="str">
        <f ca="1" t="shared" si="25"/>
        <v>The Other Team Again</v>
      </c>
      <c r="D36" s="51">
        <f ca="1" t="shared" si="26"/>
        <v>131</v>
      </c>
      <c r="E36" s="51">
        <f ca="1" t="shared" si="26"/>
        <v>124</v>
      </c>
      <c r="F36" s="51">
        <f ca="1" t="shared" si="26"/>
        <v>144</v>
      </c>
      <c r="G36" s="51">
        <f ca="1" t="shared" si="26"/>
      </c>
      <c r="H36" s="51">
        <f ca="1" t="shared" si="26"/>
      </c>
      <c r="I36" s="51">
        <f ca="1" t="shared" si="26"/>
      </c>
      <c r="J36" s="51">
        <f ca="1" t="shared" si="26"/>
      </c>
      <c r="K36" s="51">
        <f ca="1" t="shared" si="26"/>
        <v>144</v>
      </c>
      <c r="L36" s="51">
        <f ca="1" t="shared" si="27"/>
        <v>3</v>
      </c>
      <c r="M36" s="51">
        <v>3</v>
      </c>
      <c r="N36" s="51">
        <f ca="1" t="shared" si="22"/>
        <v>3</v>
      </c>
      <c r="O36" s="51">
        <f t="shared" si="28"/>
        <v>11</v>
      </c>
      <c r="Q36" s="51">
        <f ca="1" t="shared" si="23"/>
        <v>131</v>
      </c>
      <c r="R36" s="51">
        <f ca="1" t="shared" si="23"/>
        <v>124</v>
      </c>
      <c r="S36" s="51">
        <f ca="1" t="shared" si="23"/>
        <v>144</v>
      </c>
      <c r="T36" s="51" t="e">
        <f ca="1" t="shared" si="23"/>
        <v>#N/A</v>
      </c>
      <c r="U36" s="51" t="e">
        <f ca="1" t="shared" si="23"/>
        <v>#N/A</v>
      </c>
      <c r="V36" s="51" t="e">
        <f ca="1" t="shared" si="23"/>
        <v>#N/A</v>
      </c>
      <c r="W36" s="51"/>
      <c r="AE36" s="51">
        <f ca="1" t="shared" si="24"/>
        <v>131</v>
      </c>
      <c r="AF36" s="51">
        <f ca="1" t="shared" si="24"/>
        <v>124</v>
      </c>
      <c r="AG36" s="51">
        <f ca="1" t="shared" si="24"/>
        <v>144</v>
      </c>
    </row>
    <row r="37" spans="1:33" ht="12.75">
      <c r="A37" s="51">
        <f ca="1" t="shared" si="25"/>
        <v>7</v>
      </c>
      <c r="B37" s="51">
        <f ca="1" t="shared" si="25"/>
        <v>6195</v>
      </c>
      <c r="C37" s="51" t="str">
        <f ca="1" t="shared" si="25"/>
        <v>SAP0wer4</v>
      </c>
      <c r="D37" s="51">
        <f ca="1" t="shared" si="26"/>
        <v>82</v>
      </c>
      <c r="E37" s="51">
        <f ca="1" t="shared" si="26"/>
        <v>135</v>
      </c>
      <c r="F37" s="51">
        <f ca="1" t="shared" si="26"/>
        <v>96</v>
      </c>
      <c r="G37" s="51">
        <f ca="1" t="shared" si="26"/>
      </c>
      <c r="H37" s="51">
        <f ca="1" t="shared" si="26"/>
      </c>
      <c r="I37" s="51">
        <f ca="1" t="shared" si="26"/>
      </c>
      <c r="J37" s="51">
        <f ca="1" t="shared" si="26"/>
      </c>
      <c r="K37" s="51">
        <f ca="1" t="shared" si="26"/>
        <v>135</v>
      </c>
      <c r="L37" s="51">
        <f ca="1" t="shared" si="27"/>
        <v>4</v>
      </c>
      <c r="M37" s="51">
        <v>4</v>
      </c>
      <c r="N37" s="51">
        <f ca="1" t="shared" si="22"/>
        <v>3</v>
      </c>
      <c r="O37" s="51">
        <f t="shared" si="28"/>
        <v>7</v>
      </c>
      <c r="Q37" s="51">
        <f ca="1" t="shared" si="23"/>
        <v>82</v>
      </c>
      <c r="R37" s="51">
        <f ca="1" t="shared" si="23"/>
        <v>135</v>
      </c>
      <c r="S37" s="51">
        <f ca="1" t="shared" si="23"/>
        <v>96</v>
      </c>
      <c r="T37" s="51" t="e">
        <f ca="1" t="shared" si="23"/>
        <v>#N/A</v>
      </c>
      <c r="U37" s="51" t="e">
        <f ca="1" t="shared" si="23"/>
        <v>#N/A</v>
      </c>
      <c r="V37" s="51" t="e">
        <f ca="1" t="shared" si="23"/>
        <v>#N/A</v>
      </c>
      <c r="W37" s="51"/>
      <c r="AE37" s="51">
        <f ca="1" t="shared" si="24"/>
        <v>82</v>
      </c>
      <c r="AF37" s="51">
        <f ca="1" t="shared" si="24"/>
        <v>135</v>
      </c>
      <c r="AG37" s="51">
        <f ca="1" t="shared" si="24"/>
        <v>96</v>
      </c>
    </row>
    <row r="38" spans="1:33" ht="12.75">
      <c r="A38" s="51">
        <f ca="1" t="shared" si="25"/>
        <v>13</v>
      </c>
      <c r="B38" s="51">
        <f ca="1" t="shared" si="25"/>
        <v>5820</v>
      </c>
      <c r="C38" s="51" t="str">
        <f ca="1" t="shared" si="25"/>
        <v>Pieceful Programmers</v>
      </c>
      <c r="D38" s="51">
        <f ca="1" t="shared" si="26"/>
        <v>115</v>
      </c>
      <c r="E38" s="51">
        <f ca="1" t="shared" si="26"/>
        <v>134</v>
      </c>
      <c r="F38" s="51">
        <f ca="1" t="shared" si="26"/>
        <v>130</v>
      </c>
      <c r="G38" s="51">
        <f ca="1" t="shared" si="26"/>
      </c>
      <c r="H38" s="51">
        <f ca="1" t="shared" si="26"/>
      </c>
      <c r="I38" s="51">
        <f ca="1" t="shared" si="26"/>
      </c>
      <c r="J38" s="51">
        <f ca="1" t="shared" si="26"/>
      </c>
      <c r="K38" s="51">
        <f ca="1" t="shared" si="26"/>
        <v>134</v>
      </c>
      <c r="L38" s="51">
        <f ca="1" t="shared" si="27"/>
        <v>5</v>
      </c>
      <c r="M38" s="51">
        <v>5</v>
      </c>
      <c r="N38" s="51">
        <f ca="1" t="shared" si="22"/>
        <v>3</v>
      </c>
      <c r="O38" s="51">
        <f t="shared" si="28"/>
        <v>13</v>
      </c>
      <c r="Q38" s="51">
        <f ca="1" t="shared" si="23"/>
        <v>115</v>
      </c>
      <c r="R38" s="51">
        <f ca="1" t="shared" si="23"/>
        <v>134</v>
      </c>
      <c r="S38" s="51">
        <f ca="1" t="shared" si="23"/>
        <v>130</v>
      </c>
      <c r="T38" s="51" t="e">
        <f ca="1" t="shared" si="23"/>
        <v>#N/A</v>
      </c>
      <c r="U38" s="51" t="e">
        <f ca="1" t="shared" si="23"/>
        <v>#N/A</v>
      </c>
      <c r="V38" s="51" t="e">
        <f ca="1" t="shared" si="23"/>
        <v>#N/A</v>
      </c>
      <c r="W38" s="51"/>
      <c r="AE38" s="51">
        <f ca="1" t="shared" si="24"/>
        <v>115</v>
      </c>
      <c r="AF38" s="51">
        <f ca="1" t="shared" si="24"/>
        <v>134</v>
      </c>
      <c r="AG38" s="51">
        <f ca="1" t="shared" si="24"/>
        <v>130</v>
      </c>
    </row>
    <row r="39" spans="1:33" ht="12.75">
      <c r="A39" s="51">
        <f ca="1" t="shared" si="25"/>
        <v>3</v>
      </c>
      <c r="B39" s="51">
        <f ca="1" t="shared" si="25"/>
        <v>8717</v>
      </c>
      <c r="C39" s="51" t="str">
        <f ca="1" t="shared" si="25"/>
        <v>Robotic Ravioli</v>
      </c>
      <c r="D39" s="51">
        <f ca="1" t="shared" si="26"/>
        <v>132</v>
      </c>
      <c r="E39" s="51">
        <f ca="1" t="shared" si="26"/>
        <v>92</v>
      </c>
      <c r="F39" s="51">
        <f ca="1" t="shared" si="26"/>
        <v>133</v>
      </c>
      <c r="G39" s="51">
        <f ca="1" t="shared" si="26"/>
      </c>
      <c r="H39" s="51">
        <f ca="1" t="shared" si="26"/>
      </c>
      <c r="I39" s="51">
        <f ca="1" t="shared" si="26"/>
      </c>
      <c r="J39" s="51">
        <f ca="1" t="shared" si="26"/>
      </c>
      <c r="K39" s="51">
        <f ca="1" t="shared" si="26"/>
        <v>133</v>
      </c>
      <c r="L39" s="51">
        <f ca="1" t="shared" si="27"/>
        <v>6</v>
      </c>
      <c r="M39" s="51">
        <v>6</v>
      </c>
      <c r="N39" s="51">
        <f ca="1" t="shared" si="22"/>
        <v>3</v>
      </c>
      <c r="O39" s="51">
        <f t="shared" si="28"/>
        <v>3</v>
      </c>
      <c r="Q39" s="51">
        <f ca="1" t="shared" si="23"/>
        <v>132</v>
      </c>
      <c r="R39" s="51">
        <f ca="1" t="shared" si="23"/>
        <v>92</v>
      </c>
      <c r="S39" s="51">
        <f ca="1" t="shared" si="23"/>
        <v>133</v>
      </c>
      <c r="T39" s="51" t="e">
        <f ca="1" t="shared" si="23"/>
        <v>#N/A</v>
      </c>
      <c r="U39" s="51" t="e">
        <f ca="1" t="shared" si="23"/>
        <v>#N/A</v>
      </c>
      <c r="V39" s="51" t="e">
        <f ca="1" t="shared" si="23"/>
        <v>#N/A</v>
      </c>
      <c r="W39" s="51"/>
      <c r="AE39" s="51">
        <f ca="1" t="shared" si="24"/>
        <v>132</v>
      </c>
      <c r="AF39" s="51">
        <f ca="1" t="shared" si="24"/>
        <v>92</v>
      </c>
      <c r="AG39" s="51">
        <f ca="1" t="shared" si="24"/>
        <v>133</v>
      </c>
    </row>
    <row r="40" spans="1:33" ht="12.75">
      <c r="A40" s="51">
        <f ca="1" t="shared" si="25"/>
        <v>14</v>
      </c>
      <c r="B40" s="51">
        <f ca="1" t="shared" si="25"/>
        <v>5221</v>
      </c>
      <c r="C40" s="51" t="str">
        <f ca="1" t="shared" si="25"/>
        <v>Extreme Kennedy</v>
      </c>
      <c r="D40" s="51">
        <f ca="1" t="shared" si="26"/>
        <v>133</v>
      </c>
      <c r="E40" s="51">
        <f ca="1" t="shared" si="26"/>
        <v>124</v>
      </c>
      <c r="F40" s="51">
        <f ca="1" t="shared" si="26"/>
        <v>119</v>
      </c>
      <c r="G40" s="51">
        <f ca="1" t="shared" si="26"/>
      </c>
      <c r="H40" s="51">
        <f ca="1" t="shared" si="26"/>
      </c>
      <c r="I40" s="51">
        <f ca="1" t="shared" si="26"/>
      </c>
      <c r="J40" s="51">
        <f ca="1" t="shared" si="26"/>
      </c>
      <c r="K40" s="51">
        <f ca="1" t="shared" si="26"/>
        <v>133</v>
      </c>
      <c r="L40" s="51">
        <f ca="1" t="shared" si="27"/>
        <v>7</v>
      </c>
      <c r="M40" s="51">
        <v>7</v>
      </c>
      <c r="N40" s="51">
        <f ca="1" t="shared" si="22"/>
        <v>3</v>
      </c>
      <c r="O40" s="51">
        <f t="shared" si="28"/>
        <v>14</v>
      </c>
      <c r="Q40" s="51">
        <f ca="1" t="shared" si="23"/>
        <v>133</v>
      </c>
      <c r="R40" s="51">
        <f ca="1" t="shared" si="23"/>
        <v>124</v>
      </c>
      <c r="S40" s="51">
        <f ca="1" t="shared" si="23"/>
        <v>119</v>
      </c>
      <c r="T40" s="51" t="e">
        <f ca="1" t="shared" si="23"/>
        <v>#N/A</v>
      </c>
      <c r="U40" s="51" t="e">
        <f ca="1" t="shared" si="23"/>
        <v>#N/A</v>
      </c>
      <c r="V40" s="51" t="e">
        <f ca="1" t="shared" si="23"/>
        <v>#N/A</v>
      </c>
      <c r="W40" s="51"/>
      <c r="AE40" s="51">
        <f ca="1" t="shared" si="24"/>
        <v>133</v>
      </c>
      <c r="AF40" s="51">
        <f ca="1" t="shared" si="24"/>
        <v>124</v>
      </c>
      <c r="AG40" s="51">
        <f ca="1" t="shared" si="24"/>
        <v>119</v>
      </c>
    </row>
    <row r="41" spans="1:33" ht="12.75">
      <c r="A41" s="51">
        <f ca="1" t="shared" si="25"/>
        <v>6</v>
      </c>
      <c r="B41" s="51">
        <f ca="1" t="shared" si="25"/>
        <v>8947</v>
      </c>
      <c r="C41" s="51" t="str">
        <f ca="1" t="shared" si="25"/>
        <v>40 Loyola SAPlings</v>
      </c>
      <c r="D41" s="51">
        <f ca="1" t="shared" si="26"/>
        <v>103</v>
      </c>
      <c r="E41" s="51">
        <f ca="1" t="shared" si="26"/>
        <v>87</v>
      </c>
      <c r="F41" s="51">
        <f ca="1" t="shared" si="26"/>
        <v>124</v>
      </c>
      <c r="G41" s="51">
        <f ca="1" t="shared" si="26"/>
      </c>
      <c r="H41" s="51">
        <f ca="1" t="shared" si="26"/>
      </c>
      <c r="I41" s="51">
        <f ca="1" t="shared" si="26"/>
      </c>
      <c r="J41" s="51">
        <f ca="1" t="shared" si="26"/>
      </c>
      <c r="K41" s="51">
        <f ca="1" t="shared" si="26"/>
        <v>124</v>
      </c>
      <c r="L41" s="51">
        <f ca="1" t="shared" si="27"/>
        <v>8</v>
      </c>
      <c r="M41" s="51">
        <v>8</v>
      </c>
      <c r="N41" s="51">
        <f ca="1" t="shared" si="22"/>
        <v>3</v>
      </c>
      <c r="O41" s="51">
        <f t="shared" si="28"/>
        <v>6</v>
      </c>
      <c r="Q41" s="51">
        <f ca="1" t="shared" si="23"/>
        <v>103</v>
      </c>
      <c r="R41" s="51">
        <f ca="1" t="shared" si="23"/>
        <v>87</v>
      </c>
      <c r="S41" s="51">
        <f ca="1" t="shared" si="23"/>
        <v>124</v>
      </c>
      <c r="T41" s="51" t="e">
        <f ca="1" t="shared" si="23"/>
        <v>#N/A</v>
      </c>
      <c r="U41" s="51" t="e">
        <f ca="1" t="shared" si="23"/>
        <v>#N/A</v>
      </c>
      <c r="V41" s="51" t="e">
        <f ca="1" t="shared" si="23"/>
        <v>#N/A</v>
      </c>
      <c r="W41" s="51"/>
      <c r="AE41" s="51">
        <f ca="1" t="shared" si="24"/>
        <v>103</v>
      </c>
      <c r="AF41" s="51">
        <f ca="1" t="shared" si="24"/>
        <v>87</v>
      </c>
      <c r="AG41" s="51">
        <f ca="1" t="shared" si="24"/>
        <v>124</v>
      </c>
    </row>
    <row r="42" spans="1:33" ht="12.75">
      <c r="A42" s="51">
        <f ca="1" t="shared" si="25"/>
        <v>9</v>
      </c>
      <c r="B42" s="51">
        <f ca="1" t="shared" si="25"/>
        <v>6373</v>
      </c>
      <c r="C42" s="51" t="str">
        <f ca="1" t="shared" si="25"/>
        <v>Kung Food</v>
      </c>
      <c r="D42" s="51">
        <f ca="1" t="shared" si="26"/>
        <v>98</v>
      </c>
      <c r="E42" s="51">
        <f ca="1" t="shared" si="26"/>
        <v>114</v>
      </c>
      <c r="F42" s="51">
        <f ca="1" t="shared" si="26"/>
        <v>122</v>
      </c>
      <c r="G42" s="51">
        <f ca="1" t="shared" si="26"/>
      </c>
      <c r="H42" s="51">
        <f ca="1" t="shared" si="26"/>
      </c>
      <c r="I42" s="51">
        <f ca="1" t="shared" si="26"/>
      </c>
      <c r="J42" s="51">
        <f ca="1" t="shared" si="26"/>
      </c>
      <c r="K42" s="51">
        <f ca="1" t="shared" si="26"/>
        <v>122</v>
      </c>
      <c r="L42" s="51">
        <f ca="1" t="shared" si="27"/>
        <v>9</v>
      </c>
      <c r="M42" s="51">
        <v>9</v>
      </c>
      <c r="N42" s="51">
        <f ca="1" t="shared" si="22"/>
        <v>3</v>
      </c>
      <c r="O42" s="51">
        <f t="shared" si="28"/>
        <v>9</v>
      </c>
      <c r="Q42" s="51">
        <f ca="1" t="shared" si="23"/>
        <v>98</v>
      </c>
      <c r="R42" s="51">
        <f ca="1" t="shared" si="23"/>
        <v>114</v>
      </c>
      <c r="S42" s="51">
        <f ca="1" t="shared" si="23"/>
        <v>122</v>
      </c>
      <c r="T42" s="51" t="e">
        <f ca="1" t="shared" si="23"/>
        <v>#N/A</v>
      </c>
      <c r="U42" s="51" t="e">
        <f ca="1" t="shared" si="23"/>
        <v>#N/A</v>
      </c>
      <c r="V42" s="51" t="e">
        <f ca="1" t="shared" si="23"/>
        <v>#N/A</v>
      </c>
      <c r="W42" s="51"/>
      <c r="AE42" s="51">
        <f ca="1" t="shared" si="24"/>
        <v>98</v>
      </c>
      <c r="AF42" s="51">
        <f ca="1" t="shared" si="24"/>
        <v>114</v>
      </c>
      <c r="AG42" s="51">
        <f ca="1" t="shared" si="24"/>
        <v>122</v>
      </c>
    </row>
    <row r="43" spans="1:33" ht="12.75">
      <c r="A43" s="51">
        <f ca="1" t="shared" si="25"/>
        <v>15</v>
      </c>
      <c r="B43" s="51">
        <f ca="1" t="shared" si="25"/>
        <v>3927</v>
      </c>
      <c r="C43" s="51" t="str">
        <f ca="1" t="shared" si="25"/>
        <v>Hazardous Waste</v>
      </c>
      <c r="D43" s="51">
        <f ca="1" t="shared" si="26"/>
        <v>80</v>
      </c>
      <c r="E43" s="51">
        <f ca="1" t="shared" si="26"/>
        <v>113</v>
      </c>
      <c r="F43" s="51">
        <f ca="1" t="shared" si="26"/>
        <v>96</v>
      </c>
      <c r="G43" s="51">
        <f ca="1" t="shared" si="26"/>
      </c>
      <c r="H43" s="51">
        <f ca="1" t="shared" si="26"/>
      </c>
      <c r="I43" s="51">
        <f ca="1" t="shared" si="26"/>
      </c>
      <c r="J43" s="51">
        <f ca="1" t="shared" si="26"/>
      </c>
      <c r="K43" s="51">
        <f ca="1" t="shared" si="26"/>
        <v>113</v>
      </c>
      <c r="L43" s="51">
        <f ca="1" t="shared" si="27"/>
        <v>10</v>
      </c>
      <c r="M43" s="51">
        <v>10</v>
      </c>
      <c r="N43" s="51">
        <f ca="1" t="shared" si="22"/>
        <v>3</v>
      </c>
      <c r="O43" s="51">
        <f t="shared" si="28"/>
        <v>15</v>
      </c>
      <c r="Q43" s="51">
        <f ca="1" t="shared" si="23"/>
        <v>80</v>
      </c>
      <c r="R43" s="51">
        <f ca="1" t="shared" si="23"/>
        <v>113</v>
      </c>
      <c r="S43" s="51">
        <f ca="1" t="shared" si="23"/>
        <v>96</v>
      </c>
      <c r="T43" s="51" t="e">
        <f ca="1" t="shared" si="23"/>
        <v>#N/A</v>
      </c>
      <c r="U43" s="51" t="e">
        <f ca="1" t="shared" si="23"/>
        <v>#N/A</v>
      </c>
      <c r="V43" s="51" t="e">
        <f ca="1" t="shared" si="23"/>
        <v>#N/A</v>
      </c>
      <c r="W43" s="51"/>
      <c r="AE43" s="51">
        <f ca="1" t="shared" si="24"/>
        <v>80</v>
      </c>
      <c r="AF43" s="51">
        <f ca="1" t="shared" si="24"/>
        <v>113</v>
      </c>
      <c r="AG43" s="51">
        <f ca="1" t="shared" si="24"/>
        <v>96</v>
      </c>
    </row>
    <row r="44" spans="1:33" ht="12.75">
      <c r="A44" s="51">
        <f ca="1" t="shared" si="25"/>
        <v>2</v>
      </c>
      <c r="B44" s="51">
        <f ca="1" t="shared" si="25"/>
        <v>3583</v>
      </c>
      <c r="C44" s="51" t="str">
        <f ca="1" t="shared" si="25"/>
        <v>Mat Scientists</v>
      </c>
      <c r="D44" s="51">
        <f ca="1" t="shared" si="26"/>
        <v>110</v>
      </c>
      <c r="E44" s="51">
        <f ca="1" t="shared" si="26"/>
        <v>107</v>
      </c>
      <c r="F44" s="51">
        <f ca="1" t="shared" si="26"/>
        <v>112</v>
      </c>
      <c r="G44" s="51">
        <f ca="1" t="shared" si="26"/>
      </c>
      <c r="H44" s="51">
        <f ca="1" t="shared" si="26"/>
      </c>
      <c r="I44" s="51">
        <f ca="1" t="shared" si="26"/>
      </c>
      <c r="J44" s="51">
        <f ca="1" t="shared" si="26"/>
      </c>
      <c r="K44" s="51">
        <f ca="1" t="shared" si="26"/>
        <v>112</v>
      </c>
      <c r="L44" s="51">
        <f ca="1" t="shared" si="27"/>
        <v>11</v>
      </c>
      <c r="M44" s="51">
        <v>11</v>
      </c>
      <c r="N44" s="51">
        <f ca="1" t="shared" si="22"/>
        <v>3</v>
      </c>
      <c r="O44" s="51">
        <f t="shared" si="28"/>
        <v>2</v>
      </c>
      <c r="Q44" s="51">
        <f ca="1" t="shared" si="23"/>
        <v>110</v>
      </c>
      <c r="R44" s="51">
        <f ca="1" t="shared" si="23"/>
        <v>107</v>
      </c>
      <c r="S44" s="51">
        <f ca="1" t="shared" si="23"/>
        <v>112</v>
      </c>
      <c r="T44" s="51" t="e">
        <f ca="1" t="shared" si="23"/>
        <v>#N/A</v>
      </c>
      <c r="U44" s="51" t="e">
        <f ca="1" t="shared" si="23"/>
        <v>#N/A</v>
      </c>
      <c r="V44" s="51" t="e">
        <f ca="1" t="shared" si="23"/>
        <v>#N/A</v>
      </c>
      <c r="W44" s="51"/>
      <c r="AE44" s="51">
        <f ca="1" t="shared" si="24"/>
        <v>110</v>
      </c>
      <c r="AF44" s="51">
        <f ca="1" t="shared" si="24"/>
        <v>107</v>
      </c>
      <c r="AG44" s="51">
        <f ca="1" t="shared" si="24"/>
        <v>112</v>
      </c>
    </row>
    <row r="45" spans="1:33" ht="12.75">
      <c r="A45" s="51">
        <f ca="1" t="shared" si="25"/>
        <v>10</v>
      </c>
      <c r="B45" s="51">
        <f ca="1" t="shared" si="25"/>
        <v>7667</v>
      </c>
      <c r="C45" s="51" t="str">
        <f ca="1" t="shared" si="25"/>
        <v>Fantastic Lego Legion</v>
      </c>
      <c r="D45" s="51">
        <f ca="1" t="shared" si="26"/>
        <v>110</v>
      </c>
      <c r="E45" s="51">
        <f ca="1" t="shared" si="26"/>
        <v>112</v>
      </c>
      <c r="F45" s="51">
        <f ca="1" t="shared" si="26"/>
        <v>81</v>
      </c>
      <c r="G45" s="51">
        <f ca="1" t="shared" si="26"/>
      </c>
      <c r="H45" s="51">
        <f ca="1" t="shared" si="26"/>
      </c>
      <c r="I45" s="51">
        <f ca="1" t="shared" si="26"/>
      </c>
      <c r="J45" s="51">
        <f ca="1" t="shared" si="26"/>
      </c>
      <c r="K45" s="51">
        <f ca="1" t="shared" si="26"/>
        <v>112</v>
      </c>
      <c r="L45" s="51">
        <f ca="1" t="shared" si="27"/>
        <v>12</v>
      </c>
      <c r="M45" s="51">
        <v>12</v>
      </c>
      <c r="N45" s="51">
        <f ca="1" t="shared" si="22"/>
        <v>3</v>
      </c>
      <c r="O45" s="51">
        <f t="shared" si="28"/>
        <v>10</v>
      </c>
      <c r="Q45" s="51">
        <f ca="1" t="shared" si="23"/>
        <v>110</v>
      </c>
      <c r="R45" s="51">
        <f ca="1" t="shared" si="23"/>
        <v>112</v>
      </c>
      <c r="S45" s="51">
        <f ca="1" t="shared" si="23"/>
        <v>81</v>
      </c>
      <c r="T45" s="51" t="e">
        <f ca="1" t="shared" si="23"/>
        <v>#N/A</v>
      </c>
      <c r="U45" s="51" t="e">
        <f ca="1" t="shared" si="23"/>
        <v>#N/A</v>
      </c>
      <c r="V45" s="51" t="e">
        <f ca="1" t="shared" si="23"/>
        <v>#N/A</v>
      </c>
      <c r="W45" s="51"/>
      <c r="AE45" s="51">
        <f ca="1" t="shared" si="24"/>
        <v>110</v>
      </c>
      <c r="AF45" s="51">
        <f ca="1" t="shared" si="24"/>
        <v>112</v>
      </c>
      <c r="AG45" s="51">
        <f ca="1" t="shared" si="24"/>
        <v>81</v>
      </c>
    </row>
    <row r="46" spans="1:33" ht="12.75">
      <c r="A46" s="51">
        <f ca="1" t="shared" si="25"/>
        <v>4</v>
      </c>
      <c r="B46" s="51">
        <f ca="1" t="shared" si="25"/>
        <v>8043</v>
      </c>
      <c r="C46" s="51" t="str">
        <f ca="1" t="shared" si="25"/>
        <v>MINITW</v>
      </c>
      <c r="D46" s="51">
        <f ca="1" t="shared" si="26"/>
        <v>99</v>
      </c>
      <c r="E46" s="51">
        <f ca="1" t="shared" si="26"/>
        <v>109</v>
      </c>
      <c r="F46" s="51">
        <f ca="1" t="shared" si="26"/>
        <v>89</v>
      </c>
      <c r="G46" s="51">
        <f ca="1" t="shared" si="26"/>
      </c>
      <c r="H46" s="51">
        <f ca="1" t="shared" si="26"/>
      </c>
      <c r="I46" s="51">
        <f ca="1" t="shared" si="26"/>
      </c>
      <c r="J46" s="51">
        <f ca="1" t="shared" si="26"/>
      </c>
      <c r="K46" s="51">
        <f ca="1" t="shared" si="26"/>
        <v>109</v>
      </c>
      <c r="L46" s="51">
        <f ca="1" t="shared" si="27"/>
        <v>13</v>
      </c>
      <c r="M46" s="51">
        <v>13</v>
      </c>
      <c r="N46" s="51">
        <f ca="1" t="shared" si="22"/>
        <v>3</v>
      </c>
      <c r="O46" s="51">
        <f t="shared" si="28"/>
        <v>4</v>
      </c>
      <c r="Q46" s="51">
        <f ca="1" t="shared" si="23"/>
        <v>99</v>
      </c>
      <c r="R46" s="51">
        <f ca="1" t="shared" si="23"/>
        <v>109</v>
      </c>
      <c r="S46" s="51">
        <f ca="1" t="shared" si="23"/>
        <v>89</v>
      </c>
      <c r="T46" s="51" t="e">
        <f ca="1" t="shared" si="23"/>
        <v>#N/A</v>
      </c>
      <c r="U46" s="51" t="e">
        <f ca="1" t="shared" si="23"/>
        <v>#N/A</v>
      </c>
      <c r="V46" s="51" t="e">
        <f ca="1" t="shared" si="23"/>
        <v>#N/A</v>
      </c>
      <c r="W46" s="51"/>
      <c r="AE46" s="51">
        <f ca="1" t="shared" si="24"/>
        <v>99</v>
      </c>
      <c r="AF46" s="51">
        <f ca="1" t="shared" si="24"/>
        <v>109</v>
      </c>
      <c r="AG46" s="51">
        <f ca="1" t="shared" si="24"/>
        <v>89</v>
      </c>
    </row>
    <row r="47" spans="1:33" ht="12.75">
      <c r="A47" s="51">
        <f ca="1" t="shared" si="25"/>
        <v>8</v>
      </c>
      <c r="B47" s="51">
        <f ca="1" t="shared" si="25"/>
        <v>6222</v>
      </c>
      <c r="C47" s="51" t="str">
        <f ca="1" t="shared" si="25"/>
        <v>Adroits</v>
      </c>
      <c r="D47" s="51">
        <f ca="1" t="shared" si="26"/>
        <v>93</v>
      </c>
      <c r="E47" s="51">
        <f ca="1" t="shared" si="26"/>
        <v>87</v>
      </c>
      <c r="F47" s="51">
        <f ca="1" t="shared" si="26"/>
        <v>107</v>
      </c>
      <c r="G47" s="51">
        <f ca="1" t="shared" si="26"/>
      </c>
      <c r="H47" s="51">
        <f ca="1" t="shared" si="26"/>
      </c>
      <c r="I47" s="51">
        <f ca="1" t="shared" si="26"/>
      </c>
      <c r="J47" s="51">
        <f ca="1" t="shared" si="26"/>
      </c>
      <c r="K47" s="51">
        <f ca="1" t="shared" si="26"/>
        <v>107</v>
      </c>
      <c r="L47" s="51">
        <f ca="1" t="shared" si="26"/>
        <v>14</v>
      </c>
      <c r="M47" s="51">
        <v>14</v>
      </c>
      <c r="N47" s="51">
        <f ca="1" t="shared" si="22"/>
        <v>3</v>
      </c>
      <c r="O47" s="51">
        <f t="shared" si="28"/>
        <v>8</v>
      </c>
      <c r="Q47" s="51">
        <f ca="1" t="shared" si="23"/>
        <v>93</v>
      </c>
      <c r="R47" s="51">
        <f ca="1" t="shared" si="23"/>
        <v>87</v>
      </c>
      <c r="S47" s="51">
        <f ca="1" t="shared" si="23"/>
        <v>107</v>
      </c>
      <c r="T47" s="51" t="e">
        <f ca="1" t="shared" si="23"/>
        <v>#N/A</v>
      </c>
      <c r="U47" s="51" t="e">
        <f ca="1" t="shared" si="23"/>
        <v>#N/A</v>
      </c>
      <c r="V47" s="51" t="e">
        <f ca="1" t="shared" si="23"/>
        <v>#N/A</v>
      </c>
      <c r="W47" s="51"/>
      <c r="AE47" s="51">
        <f ca="1" t="shared" si="24"/>
        <v>93</v>
      </c>
      <c r="AF47" s="51">
        <f ca="1" t="shared" si="24"/>
        <v>87</v>
      </c>
      <c r="AG47" s="51">
        <f ca="1" t="shared" si="24"/>
        <v>107</v>
      </c>
    </row>
    <row r="48" spans="1:33" ht="12.75">
      <c r="A48" s="51">
        <f ca="1" t="shared" si="25"/>
        <v>12</v>
      </c>
      <c r="B48" s="51">
        <f ca="1" t="shared" si="25"/>
        <v>9738</v>
      </c>
      <c r="C48" s="51" t="str">
        <f ca="1" t="shared" si="25"/>
        <v>Alien Calamari</v>
      </c>
      <c r="D48" s="51">
        <f ca="1" t="shared" si="26"/>
        <v>92</v>
      </c>
      <c r="E48" s="51">
        <f ca="1" t="shared" si="26"/>
        <v>103</v>
      </c>
      <c r="F48" s="51">
        <f ca="1" t="shared" si="26"/>
        <v>88</v>
      </c>
      <c r="G48" s="51">
        <f ca="1" t="shared" si="26"/>
      </c>
      <c r="H48" s="51">
        <f ca="1" t="shared" si="26"/>
      </c>
      <c r="I48" s="51">
        <f ca="1" t="shared" si="26"/>
      </c>
      <c r="J48" s="51">
        <f ca="1" t="shared" si="26"/>
      </c>
      <c r="K48" s="51">
        <f ca="1" t="shared" si="26"/>
        <v>103</v>
      </c>
      <c r="L48" s="51">
        <f ca="1" t="shared" si="26"/>
        <v>15</v>
      </c>
      <c r="M48" s="51">
        <v>15</v>
      </c>
      <c r="N48" s="51">
        <f ca="1" t="shared" si="22"/>
        <v>3</v>
      </c>
      <c r="O48" s="51">
        <f t="shared" si="28"/>
        <v>12</v>
      </c>
      <c r="Q48" s="51">
        <f ca="1" t="shared" si="23"/>
        <v>92</v>
      </c>
      <c r="R48" s="51">
        <f ca="1" t="shared" si="23"/>
        <v>103</v>
      </c>
      <c r="S48" s="51">
        <f ca="1" t="shared" si="23"/>
        <v>88</v>
      </c>
      <c r="T48" s="51" t="e">
        <f ca="1" t="shared" si="23"/>
        <v>#N/A</v>
      </c>
      <c r="U48" s="51" t="e">
        <f ca="1" t="shared" si="23"/>
        <v>#N/A</v>
      </c>
      <c r="V48" s="51" t="e">
        <f ca="1" t="shared" si="23"/>
        <v>#N/A</v>
      </c>
      <c r="W48" s="51"/>
      <c r="AE48" s="51">
        <f ca="1" t="shared" si="24"/>
        <v>92</v>
      </c>
      <c r="AF48" s="51">
        <f ca="1" t="shared" si="24"/>
        <v>103</v>
      </c>
      <c r="AG48" s="51">
        <f ca="1" t="shared" si="24"/>
        <v>88</v>
      </c>
    </row>
    <row r="49" spans="1:33" ht="12.75">
      <c r="A49" s="51">
        <f ca="1" t="shared" si="25"/>
        <v>5</v>
      </c>
      <c r="B49" s="51">
        <f ca="1" t="shared" si="25"/>
        <v>7940</v>
      </c>
      <c r="C49" s="51" t="str">
        <f ca="1" t="shared" si="25"/>
        <v>Gears</v>
      </c>
      <c r="D49" s="51">
        <f ca="1" t="shared" si="26"/>
        <v>64</v>
      </c>
      <c r="E49" s="51">
        <f ca="1" t="shared" si="26"/>
        <v>63</v>
      </c>
      <c r="F49" s="51">
        <f ca="1" t="shared" si="26"/>
        <v>93</v>
      </c>
      <c r="G49" s="51">
        <f ca="1" t="shared" si="26"/>
      </c>
      <c r="H49" s="51">
        <f ca="1" t="shared" si="26"/>
      </c>
      <c r="I49" s="51">
        <f ca="1" t="shared" si="26"/>
      </c>
      <c r="J49" s="51">
        <f ca="1" t="shared" si="26"/>
      </c>
      <c r="K49" s="51">
        <f ca="1" t="shared" si="26"/>
        <v>93</v>
      </c>
      <c r="L49" s="51">
        <f ca="1" t="shared" si="26"/>
        <v>16</v>
      </c>
      <c r="M49" s="51">
        <v>16</v>
      </c>
      <c r="N49" s="51">
        <f ca="1" t="shared" si="22"/>
        <v>3</v>
      </c>
      <c r="O49" s="51">
        <f t="shared" si="28"/>
        <v>5</v>
      </c>
      <c r="Q49" s="51">
        <f ca="1" t="shared" si="23"/>
        <v>64</v>
      </c>
      <c r="R49" s="51">
        <f ca="1" t="shared" si="23"/>
        <v>63</v>
      </c>
      <c r="S49" s="51">
        <f ca="1" t="shared" si="23"/>
        <v>93</v>
      </c>
      <c r="T49" s="51" t="e">
        <f ca="1" t="shared" si="23"/>
        <v>#N/A</v>
      </c>
      <c r="U49" s="51" t="e">
        <f ca="1" t="shared" si="23"/>
        <v>#N/A</v>
      </c>
      <c r="V49" s="51" t="e">
        <f ca="1" t="shared" si="23"/>
        <v>#N/A</v>
      </c>
      <c r="W49" s="51"/>
      <c r="AE49" s="51">
        <f ca="1" t="shared" si="24"/>
        <v>64</v>
      </c>
      <c r="AF49" s="51">
        <f ca="1" t="shared" si="24"/>
        <v>63</v>
      </c>
      <c r="AG49" s="51">
        <f ca="1" t="shared" si="24"/>
        <v>93</v>
      </c>
    </row>
    <row r="50" spans="1:33" ht="12.75">
      <c r="A50" s="51">
        <f ca="1" t="shared" si="25"/>
        <v>17</v>
      </c>
      <c r="B50" s="51">
        <f ca="1" t="shared" si="25"/>
        <v>0</v>
      </c>
      <c r="C50" s="51">
        <f ca="1" t="shared" si="25"/>
        <v>0</v>
      </c>
      <c r="D50" s="51">
        <f ca="1" t="shared" si="25"/>
      </c>
      <c r="E50" s="51">
        <f ca="1" t="shared" si="25"/>
      </c>
      <c r="F50" s="51">
        <f ca="1" t="shared" si="25"/>
      </c>
      <c r="G50" s="51">
        <f ca="1" t="shared" si="25"/>
      </c>
      <c r="H50" s="51">
        <f ca="1" t="shared" si="25"/>
      </c>
      <c r="I50" s="51">
        <f ca="1" t="shared" si="25"/>
      </c>
      <c r="J50" s="51">
        <f ca="1" t="shared" si="25"/>
      </c>
      <c r="K50" s="51">
        <f ca="1" t="shared" si="25"/>
        <v>0</v>
      </c>
      <c r="L50" s="51">
        <f ca="1" t="shared" si="25"/>
        <v>17</v>
      </c>
      <c r="M50" s="51">
        <v>17</v>
      </c>
      <c r="N50" s="51">
        <f aca="true" ca="1" t="shared" si="29" ref="N50:N63">OFFSET(N$1,$O50,0)</f>
        <v>0</v>
      </c>
      <c r="O50" s="51">
        <f t="shared" si="28"/>
        <v>17</v>
      </c>
      <c r="Q50" s="51" t="e">
        <f aca="true" ca="1" t="shared" si="30" ref="Q50:V63">OFFSET(Q$1,$O50,0)</f>
        <v>#N/A</v>
      </c>
      <c r="R50" s="51" t="e">
        <f ca="1" t="shared" si="30"/>
        <v>#N/A</v>
      </c>
      <c r="S50" s="51" t="e">
        <f ca="1" t="shared" si="30"/>
        <v>#N/A</v>
      </c>
      <c r="T50" s="51" t="e">
        <f ca="1" t="shared" si="30"/>
        <v>#N/A</v>
      </c>
      <c r="U50" s="51" t="e">
        <f ca="1" t="shared" si="30"/>
        <v>#N/A</v>
      </c>
      <c r="V50" s="51" t="e">
        <f ca="1" t="shared" si="30"/>
        <v>#N/A</v>
      </c>
      <c r="W50" s="51"/>
      <c r="AE50" s="51" t="e">
        <f aca="true" ca="1" t="shared" si="31" ref="AE50:AG63">OFFSET(AE$1,$A50,0)</f>
        <v>#N/A</v>
      </c>
      <c r="AF50" s="51" t="e">
        <f ca="1" t="shared" si="31"/>
        <v>#N/A</v>
      </c>
      <c r="AG50" s="51" t="e">
        <f ca="1" t="shared" si="31"/>
        <v>#N/A</v>
      </c>
    </row>
    <row r="51" spans="1:33" ht="12.75">
      <c r="A51" s="51">
        <f ca="1" t="shared" si="25"/>
        <v>18</v>
      </c>
      <c r="B51" s="51">
        <f ca="1" t="shared" si="25"/>
        <v>0</v>
      </c>
      <c r="C51" s="51">
        <f ca="1" t="shared" si="25"/>
        <v>0</v>
      </c>
      <c r="D51" s="51">
        <f ca="1" t="shared" si="25"/>
      </c>
      <c r="E51" s="51">
        <f ca="1" t="shared" si="25"/>
      </c>
      <c r="F51" s="51">
        <f ca="1" t="shared" si="25"/>
      </c>
      <c r="G51" s="51">
        <f ca="1" t="shared" si="25"/>
      </c>
      <c r="H51" s="51">
        <f ca="1" t="shared" si="25"/>
      </c>
      <c r="I51" s="51">
        <f ca="1" t="shared" si="25"/>
      </c>
      <c r="J51" s="51">
        <f ca="1" t="shared" si="25"/>
      </c>
      <c r="K51" s="51">
        <f ca="1" t="shared" si="25"/>
        <v>0</v>
      </c>
      <c r="L51" s="51">
        <f ca="1" t="shared" si="25"/>
        <v>17</v>
      </c>
      <c r="M51" s="51">
        <v>18</v>
      </c>
      <c r="N51" s="51">
        <f ca="1" t="shared" si="29"/>
        <v>0</v>
      </c>
      <c r="O51" s="51">
        <f t="shared" si="28"/>
        <v>18</v>
      </c>
      <c r="Q51" s="51" t="e">
        <f ca="1" t="shared" si="30"/>
        <v>#N/A</v>
      </c>
      <c r="R51" s="51" t="e">
        <f ca="1" t="shared" si="30"/>
        <v>#N/A</v>
      </c>
      <c r="S51" s="51" t="e">
        <f ca="1" t="shared" si="30"/>
        <v>#N/A</v>
      </c>
      <c r="T51" s="51" t="e">
        <f ca="1" t="shared" si="30"/>
        <v>#N/A</v>
      </c>
      <c r="U51" s="51" t="e">
        <f ca="1" t="shared" si="30"/>
        <v>#N/A</v>
      </c>
      <c r="V51" s="51" t="e">
        <f ca="1" t="shared" si="30"/>
        <v>#N/A</v>
      </c>
      <c r="W51" s="51"/>
      <c r="AE51" s="51" t="e">
        <f ca="1" t="shared" si="31"/>
        <v>#N/A</v>
      </c>
      <c r="AF51" s="51" t="e">
        <f ca="1" t="shared" si="31"/>
        <v>#N/A</v>
      </c>
      <c r="AG51" s="51" t="e">
        <f ca="1" t="shared" si="31"/>
        <v>#N/A</v>
      </c>
    </row>
    <row r="52" spans="1:33" ht="12.75">
      <c r="A52" s="51">
        <f ca="1" t="shared" si="25"/>
        <v>19</v>
      </c>
      <c r="B52" s="51">
        <f ca="1" t="shared" si="25"/>
        <v>0</v>
      </c>
      <c r="C52" s="51">
        <f ca="1" t="shared" si="25"/>
        <v>0</v>
      </c>
      <c r="D52" s="51">
        <f ca="1" t="shared" si="25"/>
      </c>
      <c r="E52" s="51">
        <f ca="1" t="shared" si="25"/>
      </c>
      <c r="F52" s="51">
        <f ca="1" t="shared" si="25"/>
      </c>
      <c r="G52" s="51">
        <f ca="1" t="shared" si="25"/>
      </c>
      <c r="H52" s="51">
        <f ca="1" t="shared" si="25"/>
      </c>
      <c r="I52" s="51">
        <f ca="1" t="shared" si="25"/>
      </c>
      <c r="J52" s="51">
        <f ca="1" t="shared" si="25"/>
      </c>
      <c r="K52" s="51">
        <f ca="1" t="shared" si="25"/>
        <v>0</v>
      </c>
      <c r="L52" s="51">
        <f ca="1" t="shared" si="25"/>
        <v>17</v>
      </c>
      <c r="M52" s="51">
        <v>19</v>
      </c>
      <c r="N52" s="51">
        <f ca="1" t="shared" si="29"/>
        <v>0</v>
      </c>
      <c r="O52" s="51">
        <f t="shared" si="28"/>
        <v>19</v>
      </c>
      <c r="Q52" s="51" t="e">
        <f ca="1" t="shared" si="30"/>
        <v>#N/A</v>
      </c>
      <c r="R52" s="51" t="e">
        <f ca="1" t="shared" si="30"/>
        <v>#N/A</v>
      </c>
      <c r="S52" s="51" t="e">
        <f ca="1" t="shared" si="30"/>
        <v>#N/A</v>
      </c>
      <c r="T52" s="51" t="e">
        <f ca="1" t="shared" si="30"/>
        <v>#N/A</v>
      </c>
      <c r="U52" s="51" t="e">
        <f ca="1" t="shared" si="30"/>
        <v>#N/A</v>
      </c>
      <c r="V52" s="51" t="e">
        <f ca="1" t="shared" si="30"/>
        <v>#N/A</v>
      </c>
      <c r="W52" s="51"/>
      <c r="AE52" s="51" t="e">
        <f ca="1" t="shared" si="31"/>
        <v>#N/A</v>
      </c>
      <c r="AF52" s="51" t="e">
        <f ca="1" t="shared" si="31"/>
        <v>#N/A</v>
      </c>
      <c r="AG52" s="51" t="e">
        <f ca="1" t="shared" si="31"/>
        <v>#N/A</v>
      </c>
    </row>
    <row r="53" spans="1:33" ht="12.75">
      <c r="A53" s="51">
        <f ca="1" t="shared" si="25"/>
        <v>20</v>
      </c>
      <c r="B53" s="51">
        <f ca="1" t="shared" si="25"/>
        <v>0</v>
      </c>
      <c r="C53" s="51">
        <f ca="1" t="shared" si="25"/>
        <v>0</v>
      </c>
      <c r="D53" s="51">
        <f ca="1" t="shared" si="25"/>
      </c>
      <c r="E53" s="51">
        <f ca="1" t="shared" si="25"/>
      </c>
      <c r="F53" s="51">
        <f ca="1" t="shared" si="25"/>
      </c>
      <c r="G53" s="51">
        <f ca="1" t="shared" si="25"/>
      </c>
      <c r="H53" s="51">
        <f ca="1" t="shared" si="25"/>
      </c>
      <c r="I53" s="51">
        <f ca="1" t="shared" si="25"/>
      </c>
      <c r="J53" s="51">
        <f ca="1" t="shared" si="25"/>
      </c>
      <c r="K53" s="51">
        <f ca="1" t="shared" si="25"/>
        <v>0</v>
      </c>
      <c r="L53" s="51">
        <f ca="1" t="shared" si="25"/>
        <v>17</v>
      </c>
      <c r="M53" s="51">
        <v>20</v>
      </c>
      <c r="N53" s="51">
        <f ca="1" t="shared" si="29"/>
        <v>0</v>
      </c>
      <c r="O53" s="51">
        <f t="shared" si="28"/>
        <v>20</v>
      </c>
      <c r="Q53" s="51" t="e">
        <f ca="1" t="shared" si="30"/>
        <v>#N/A</v>
      </c>
      <c r="R53" s="51" t="e">
        <f ca="1" t="shared" si="30"/>
        <v>#N/A</v>
      </c>
      <c r="S53" s="51" t="e">
        <f ca="1" t="shared" si="30"/>
        <v>#N/A</v>
      </c>
      <c r="T53" s="51" t="e">
        <f ca="1" t="shared" si="30"/>
        <v>#N/A</v>
      </c>
      <c r="U53" s="51" t="e">
        <f ca="1" t="shared" si="30"/>
        <v>#N/A</v>
      </c>
      <c r="V53" s="51" t="e">
        <f ca="1" t="shared" si="30"/>
        <v>#N/A</v>
      </c>
      <c r="W53" s="51"/>
      <c r="AE53" s="51" t="e">
        <f ca="1" t="shared" si="31"/>
        <v>#N/A</v>
      </c>
      <c r="AF53" s="51" t="e">
        <f ca="1" t="shared" si="31"/>
        <v>#N/A</v>
      </c>
      <c r="AG53" s="51" t="e">
        <f ca="1" t="shared" si="31"/>
        <v>#N/A</v>
      </c>
    </row>
    <row r="54" spans="1:33" ht="12.75">
      <c r="A54" s="51">
        <f ca="1" t="shared" si="25"/>
        <v>21</v>
      </c>
      <c r="B54" s="51">
        <f ca="1" t="shared" si="25"/>
        <v>0</v>
      </c>
      <c r="C54" s="51">
        <f ca="1" t="shared" si="25"/>
        <v>0</v>
      </c>
      <c r="D54" s="51">
        <f ca="1" t="shared" si="25"/>
      </c>
      <c r="E54" s="51">
        <f ca="1" t="shared" si="25"/>
      </c>
      <c r="F54" s="51">
        <f ca="1" t="shared" si="25"/>
      </c>
      <c r="G54" s="51">
        <f ca="1" t="shared" si="25"/>
      </c>
      <c r="H54" s="51">
        <f ca="1" t="shared" si="25"/>
      </c>
      <c r="I54" s="51">
        <f ca="1" t="shared" si="25"/>
      </c>
      <c r="J54" s="51">
        <f ca="1" t="shared" si="25"/>
      </c>
      <c r="K54" s="51">
        <f ca="1" t="shared" si="25"/>
        <v>0</v>
      </c>
      <c r="L54" s="51">
        <f ca="1" t="shared" si="25"/>
        <v>17</v>
      </c>
      <c r="M54" s="51">
        <v>21</v>
      </c>
      <c r="N54" s="51">
        <f ca="1" t="shared" si="29"/>
        <v>0</v>
      </c>
      <c r="O54" s="51">
        <f t="shared" si="28"/>
        <v>21</v>
      </c>
      <c r="Q54" s="51" t="e">
        <f ca="1" t="shared" si="30"/>
        <v>#N/A</v>
      </c>
      <c r="R54" s="51" t="e">
        <f ca="1" t="shared" si="30"/>
        <v>#N/A</v>
      </c>
      <c r="S54" s="51" t="e">
        <f ca="1" t="shared" si="30"/>
        <v>#N/A</v>
      </c>
      <c r="T54" s="51" t="e">
        <f ca="1" t="shared" si="30"/>
        <v>#N/A</v>
      </c>
      <c r="U54" s="51" t="e">
        <f ca="1" t="shared" si="30"/>
        <v>#N/A</v>
      </c>
      <c r="V54" s="51" t="e">
        <f ca="1" t="shared" si="30"/>
        <v>#N/A</v>
      </c>
      <c r="W54" s="51"/>
      <c r="AE54" s="51" t="e">
        <f ca="1" t="shared" si="31"/>
        <v>#N/A</v>
      </c>
      <c r="AF54" s="51" t="e">
        <f ca="1" t="shared" si="31"/>
        <v>#N/A</v>
      </c>
      <c r="AG54" s="51" t="e">
        <f ca="1" t="shared" si="31"/>
        <v>#N/A</v>
      </c>
    </row>
    <row r="55" spans="1:33" ht="12.75">
      <c r="A55" s="51">
        <f ca="1" t="shared" si="25"/>
        <v>22</v>
      </c>
      <c r="B55" s="51">
        <f ca="1" t="shared" si="25"/>
        <v>0</v>
      </c>
      <c r="C55" s="51">
        <f ca="1" t="shared" si="25"/>
        <v>0</v>
      </c>
      <c r="D55" s="51">
        <f ca="1" t="shared" si="25"/>
      </c>
      <c r="E55" s="51">
        <f ca="1" t="shared" si="25"/>
      </c>
      <c r="F55" s="51">
        <f ca="1" t="shared" si="25"/>
      </c>
      <c r="G55" s="51">
        <f ca="1" t="shared" si="25"/>
      </c>
      <c r="H55" s="51">
        <f ca="1" t="shared" si="25"/>
      </c>
      <c r="I55" s="51">
        <f ca="1" t="shared" si="25"/>
      </c>
      <c r="J55" s="51">
        <f ca="1" t="shared" si="25"/>
      </c>
      <c r="K55" s="51">
        <f ca="1" t="shared" si="25"/>
        <v>0</v>
      </c>
      <c r="L55" s="51">
        <f ca="1" t="shared" si="25"/>
        <v>17</v>
      </c>
      <c r="M55" s="51">
        <v>22</v>
      </c>
      <c r="N55" s="51">
        <f ca="1" t="shared" si="29"/>
        <v>0</v>
      </c>
      <c r="O55" s="51">
        <f t="shared" si="28"/>
        <v>22</v>
      </c>
      <c r="Q55" s="51" t="e">
        <f ca="1" t="shared" si="30"/>
        <v>#N/A</v>
      </c>
      <c r="R55" s="51" t="e">
        <f ca="1" t="shared" si="30"/>
        <v>#N/A</v>
      </c>
      <c r="S55" s="51" t="e">
        <f ca="1" t="shared" si="30"/>
        <v>#N/A</v>
      </c>
      <c r="T55" s="51" t="e">
        <f ca="1" t="shared" si="30"/>
        <v>#N/A</v>
      </c>
      <c r="U55" s="51" t="e">
        <f ca="1" t="shared" si="30"/>
        <v>#N/A</v>
      </c>
      <c r="V55" s="51" t="e">
        <f ca="1" t="shared" si="30"/>
        <v>#N/A</v>
      </c>
      <c r="W55" s="51"/>
      <c r="AE55" s="51" t="e">
        <f ca="1" t="shared" si="31"/>
        <v>#N/A</v>
      </c>
      <c r="AF55" s="51" t="e">
        <f ca="1" t="shared" si="31"/>
        <v>#N/A</v>
      </c>
      <c r="AG55" s="51" t="e">
        <f ca="1" t="shared" si="31"/>
        <v>#N/A</v>
      </c>
    </row>
    <row r="56" spans="1:33" ht="12.75">
      <c r="A56" s="51">
        <f ca="1" t="shared" si="25"/>
        <v>23</v>
      </c>
      <c r="B56" s="51">
        <f ca="1" t="shared" si="25"/>
        <v>0</v>
      </c>
      <c r="C56" s="51">
        <f ca="1" t="shared" si="25"/>
        <v>0</v>
      </c>
      <c r="D56" s="51">
        <f ca="1" t="shared" si="25"/>
      </c>
      <c r="E56" s="51">
        <f ca="1" t="shared" si="25"/>
      </c>
      <c r="F56" s="51">
        <f ca="1" t="shared" si="25"/>
      </c>
      <c r="G56" s="51">
        <f ca="1" t="shared" si="25"/>
      </c>
      <c r="H56" s="51">
        <f ca="1" t="shared" si="25"/>
      </c>
      <c r="I56" s="51">
        <f ca="1" t="shared" si="25"/>
      </c>
      <c r="J56" s="51">
        <f ca="1" t="shared" si="25"/>
      </c>
      <c r="K56" s="51">
        <f ca="1" t="shared" si="25"/>
        <v>0</v>
      </c>
      <c r="L56" s="51">
        <f ca="1" t="shared" si="25"/>
        <v>17</v>
      </c>
      <c r="M56" s="51">
        <v>23</v>
      </c>
      <c r="N56" s="51">
        <f ca="1" t="shared" si="29"/>
        <v>0</v>
      </c>
      <c r="O56" s="51">
        <f t="shared" si="28"/>
        <v>23</v>
      </c>
      <c r="Q56" s="51" t="e">
        <f ca="1" t="shared" si="30"/>
        <v>#N/A</v>
      </c>
      <c r="R56" s="51" t="e">
        <f ca="1" t="shared" si="30"/>
        <v>#N/A</v>
      </c>
      <c r="S56" s="51" t="e">
        <f ca="1" t="shared" si="30"/>
        <v>#N/A</v>
      </c>
      <c r="T56" s="51" t="e">
        <f ca="1" t="shared" si="30"/>
        <v>#N/A</v>
      </c>
      <c r="U56" s="51" t="e">
        <f ca="1" t="shared" si="30"/>
        <v>#N/A</v>
      </c>
      <c r="V56" s="51" t="e">
        <f ca="1" t="shared" si="30"/>
        <v>#N/A</v>
      </c>
      <c r="W56" s="51"/>
      <c r="AE56" s="51" t="e">
        <f ca="1" t="shared" si="31"/>
        <v>#N/A</v>
      </c>
      <c r="AF56" s="51" t="e">
        <f ca="1" t="shared" si="31"/>
        <v>#N/A</v>
      </c>
      <c r="AG56" s="51" t="e">
        <f ca="1" t="shared" si="31"/>
        <v>#N/A</v>
      </c>
    </row>
    <row r="57" spans="1:33" ht="12.75">
      <c r="A57" s="51">
        <f ca="1" t="shared" si="25"/>
        <v>24</v>
      </c>
      <c r="B57" s="51">
        <f ca="1" t="shared" si="25"/>
        <v>0</v>
      </c>
      <c r="C57" s="51">
        <f ca="1" t="shared" si="25"/>
        <v>0</v>
      </c>
      <c r="D57" s="51">
        <f ca="1" t="shared" si="25"/>
      </c>
      <c r="E57" s="51">
        <f ca="1" t="shared" si="25"/>
      </c>
      <c r="F57" s="51">
        <f ca="1" t="shared" si="25"/>
      </c>
      <c r="G57" s="51">
        <f ca="1" t="shared" si="25"/>
      </c>
      <c r="H57" s="51">
        <f ca="1" t="shared" si="25"/>
      </c>
      <c r="I57" s="51">
        <f ca="1" t="shared" si="25"/>
      </c>
      <c r="J57" s="51">
        <f ca="1" t="shared" si="25"/>
      </c>
      <c r="K57" s="51">
        <f ca="1" t="shared" si="25"/>
        <v>0</v>
      </c>
      <c r="L57" s="51">
        <f ca="1" t="shared" si="25"/>
        <v>17</v>
      </c>
      <c r="M57" s="51">
        <v>24</v>
      </c>
      <c r="N57" s="51">
        <f ca="1" t="shared" si="29"/>
        <v>0</v>
      </c>
      <c r="O57" s="51">
        <f t="shared" si="28"/>
        <v>24</v>
      </c>
      <c r="Q57" s="51" t="e">
        <f ca="1" t="shared" si="30"/>
        <v>#N/A</v>
      </c>
      <c r="R57" s="51" t="e">
        <f ca="1" t="shared" si="30"/>
        <v>#N/A</v>
      </c>
      <c r="S57" s="51" t="e">
        <f ca="1" t="shared" si="30"/>
        <v>#N/A</v>
      </c>
      <c r="T57" s="51" t="e">
        <f ca="1" t="shared" si="30"/>
        <v>#N/A</v>
      </c>
      <c r="U57" s="51" t="e">
        <f ca="1" t="shared" si="30"/>
        <v>#N/A</v>
      </c>
      <c r="V57" s="51" t="e">
        <f ca="1" t="shared" si="30"/>
        <v>#N/A</v>
      </c>
      <c r="W57" s="51"/>
      <c r="AE57" s="51" t="e">
        <f ca="1" t="shared" si="31"/>
        <v>#N/A</v>
      </c>
      <c r="AF57" s="51" t="e">
        <f ca="1" t="shared" si="31"/>
        <v>#N/A</v>
      </c>
      <c r="AG57" s="51" t="e">
        <f ca="1" t="shared" si="31"/>
        <v>#N/A</v>
      </c>
    </row>
    <row r="58" spans="1:33" ht="12.75">
      <c r="A58" s="51">
        <f ca="1" t="shared" si="25"/>
        <v>25</v>
      </c>
      <c r="B58" s="51">
        <f ca="1" t="shared" si="25"/>
        <v>0</v>
      </c>
      <c r="C58" s="51">
        <f ca="1" t="shared" si="25"/>
        <v>0</v>
      </c>
      <c r="D58" s="51">
        <f ca="1" t="shared" si="25"/>
      </c>
      <c r="E58" s="51">
        <f ca="1" t="shared" si="25"/>
      </c>
      <c r="F58" s="51">
        <f ca="1" t="shared" si="25"/>
      </c>
      <c r="G58" s="51">
        <f ca="1" t="shared" si="25"/>
      </c>
      <c r="H58" s="51">
        <f ca="1" t="shared" si="25"/>
      </c>
      <c r="I58" s="51">
        <f ca="1" t="shared" si="25"/>
      </c>
      <c r="J58" s="51">
        <f ca="1" t="shared" si="25"/>
      </c>
      <c r="K58" s="51">
        <f ca="1" t="shared" si="25"/>
        <v>0</v>
      </c>
      <c r="L58" s="51">
        <f ca="1" t="shared" si="25"/>
        <v>17</v>
      </c>
      <c r="M58" s="51">
        <v>25</v>
      </c>
      <c r="N58" s="51">
        <f ca="1" t="shared" si="29"/>
        <v>0</v>
      </c>
      <c r="O58" s="51">
        <f t="shared" si="28"/>
        <v>25</v>
      </c>
      <c r="Q58" s="51" t="e">
        <f ca="1" t="shared" si="30"/>
        <v>#N/A</v>
      </c>
      <c r="R58" s="51" t="e">
        <f ca="1" t="shared" si="30"/>
        <v>#N/A</v>
      </c>
      <c r="S58" s="51" t="e">
        <f ca="1" t="shared" si="30"/>
        <v>#N/A</v>
      </c>
      <c r="T58" s="51" t="e">
        <f ca="1" t="shared" si="30"/>
        <v>#N/A</v>
      </c>
      <c r="U58" s="51" t="e">
        <f ca="1" t="shared" si="30"/>
        <v>#N/A</v>
      </c>
      <c r="V58" s="51" t="e">
        <f ca="1" t="shared" si="30"/>
        <v>#N/A</v>
      </c>
      <c r="W58" s="51"/>
      <c r="AE58" s="51" t="e">
        <f ca="1" t="shared" si="31"/>
        <v>#N/A</v>
      </c>
      <c r="AF58" s="51" t="e">
        <f ca="1" t="shared" si="31"/>
        <v>#N/A</v>
      </c>
      <c r="AG58" s="51" t="e">
        <f ca="1" t="shared" si="31"/>
        <v>#N/A</v>
      </c>
    </row>
    <row r="59" spans="1:33" ht="12.75">
      <c r="A59" s="51">
        <f ca="1" t="shared" si="25"/>
        <v>26</v>
      </c>
      <c r="B59" s="51">
        <f ca="1" t="shared" si="25"/>
        <v>0</v>
      </c>
      <c r="C59" s="51">
        <f ca="1" t="shared" si="25"/>
        <v>0</v>
      </c>
      <c r="D59" s="51">
        <f ca="1" t="shared" si="25"/>
      </c>
      <c r="E59" s="51">
        <f ca="1" t="shared" si="25"/>
      </c>
      <c r="F59" s="51">
        <f ca="1" t="shared" si="25"/>
      </c>
      <c r="G59" s="51">
        <f ca="1" t="shared" si="25"/>
      </c>
      <c r="H59" s="51">
        <f ca="1" t="shared" si="25"/>
      </c>
      <c r="I59" s="51">
        <f ca="1" t="shared" si="25"/>
      </c>
      <c r="J59" s="51">
        <f ca="1" t="shared" si="25"/>
      </c>
      <c r="K59" s="51">
        <f ca="1" t="shared" si="25"/>
        <v>0</v>
      </c>
      <c r="L59" s="51">
        <f ca="1" t="shared" si="25"/>
        <v>17</v>
      </c>
      <c r="M59" s="51">
        <v>26</v>
      </c>
      <c r="N59" s="51">
        <f ca="1" t="shared" si="29"/>
        <v>0</v>
      </c>
      <c r="O59" s="51">
        <f t="shared" si="28"/>
        <v>26</v>
      </c>
      <c r="Q59" s="51" t="e">
        <f ca="1" t="shared" si="30"/>
        <v>#N/A</v>
      </c>
      <c r="R59" s="51" t="e">
        <f ca="1" t="shared" si="30"/>
        <v>#N/A</v>
      </c>
      <c r="S59" s="51" t="e">
        <f ca="1" t="shared" si="30"/>
        <v>#N/A</v>
      </c>
      <c r="T59" s="51" t="e">
        <f ca="1" t="shared" si="30"/>
        <v>#N/A</v>
      </c>
      <c r="U59" s="51" t="e">
        <f ca="1" t="shared" si="30"/>
        <v>#N/A</v>
      </c>
      <c r="V59" s="51" t="e">
        <f ca="1" t="shared" si="30"/>
        <v>#N/A</v>
      </c>
      <c r="W59" s="51"/>
      <c r="AE59" s="51" t="e">
        <f ca="1" t="shared" si="31"/>
        <v>#N/A</v>
      </c>
      <c r="AF59" s="51" t="e">
        <f ca="1" t="shared" si="31"/>
        <v>#N/A</v>
      </c>
      <c r="AG59" s="51" t="e">
        <f ca="1" t="shared" si="31"/>
        <v>#N/A</v>
      </c>
    </row>
    <row r="60" spans="1:33" ht="12.75">
      <c r="A60" s="51">
        <f ca="1" t="shared" si="25"/>
        <v>27</v>
      </c>
      <c r="B60" s="51">
        <f ca="1" t="shared" si="25"/>
        <v>0</v>
      </c>
      <c r="C60" s="51">
        <f ca="1" t="shared" si="25"/>
        <v>0</v>
      </c>
      <c r="D60" s="51">
        <f ca="1" t="shared" si="25"/>
      </c>
      <c r="E60" s="51">
        <f ca="1" t="shared" si="25"/>
      </c>
      <c r="F60" s="51">
        <f ca="1" t="shared" si="25"/>
      </c>
      <c r="G60" s="51">
        <f ca="1" t="shared" si="25"/>
      </c>
      <c r="H60" s="51">
        <f ca="1" t="shared" si="25"/>
      </c>
      <c r="I60" s="51">
        <f ca="1" t="shared" si="25"/>
      </c>
      <c r="J60" s="51">
        <f ca="1" t="shared" si="25"/>
      </c>
      <c r="K60" s="51">
        <f ca="1" t="shared" si="25"/>
        <v>0</v>
      </c>
      <c r="L60" s="51">
        <f ca="1" t="shared" si="25"/>
        <v>17</v>
      </c>
      <c r="M60" s="51">
        <v>27</v>
      </c>
      <c r="N60" s="51">
        <f ca="1" t="shared" si="29"/>
        <v>0</v>
      </c>
      <c r="O60" s="51">
        <f t="shared" si="28"/>
        <v>27</v>
      </c>
      <c r="Q60" s="51" t="e">
        <f ca="1" t="shared" si="30"/>
        <v>#N/A</v>
      </c>
      <c r="R60" s="51" t="e">
        <f ca="1" t="shared" si="30"/>
        <v>#N/A</v>
      </c>
      <c r="S60" s="51" t="e">
        <f ca="1" t="shared" si="30"/>
        <v>#N/A</v>
      </c>
      <c r="T60" s="51" t="e">
        <f ca="1" t="shared" si="30"/>
        <v>#N/A</v>
      </c>
      <c r="U60" s="51" t="e">
        <f ca="1" t="shared" si="30"/>
        <v>#N/A</v>
      </c>
      <c r="V60" s="51" t="e">
        <f ca="1" t="shared" si="30"/>
        <v>#N/A</v>
      </c>
      <c r="W60" s="51"/>
      <c r="AE60" s="51" t="e">
        <f ca="1" t="shared" si="31"/>
        <v>#N/A</v>
      </c>
      <c r="AF60" s="51" t="e">
        <f ca="1" t="shared" si="31"/>
        <v>#N/A</v>
      </c>
      <c r="AG60" s="51" t="e">
        <f ca="1" t="shared" si="31"/>
        <v>#N/A</v>
      </c>
    </row>
    <row r="61" spans="1:33" ht="12.75">
      <c r="A61" s="51">
        <f ca="1" t="shared" si="25"/>
        <v>28</v>
      </c>
      <c r="B61" s="51">
        <f ca="1" t="shared" si="25"/>
        <v>0</v>
      </c>
      <c r="C61" s="51">
        <f ca="1" t="shared" si="25"/>
        <v>0</v>
      </c>
      <c r="D61" s="51">
        <f ca="1" t="shared" si="25"/>
      </c>
      <c r="E61" s="51">
        <f ca="1" t="shared" si="25"/>
      </c>
      <c r="F61" s="51">
        <f ca="1" t="shared" si="25"/>
      </c>
      <c r="G61" s="51">
        <f ca="1" t="shared" si="25"/>
      </c>
      <c r="H61" s="51">
        <f ca="1" t="shared" si="25"/>
      </c>
      <c r="I61" s="51">
        <f ca="1" t="shared" si="25"/>
      </c>
      <c r="J61" s="51">
        <f ca="1" t="shared" si="25"/>
      </c>
      <c r="K61" s="51">
        <f ca="1" t="shared" si="25"/>
        <v>0</v>
      </c>
      <c r="L61" s="51">
        <f ca="1" t="shared" si="25"/>
        <v>17</v>
      </c>
      <c r="M61" s="51">
        <v>28</v>
      </c>
      <c r="N61" s="51">
        <f ca="1" t="shared" si="29"/>
        <v>0</v>
      </c>
      <c r="O61" s="51">
        <f t="shared" si="28"/>
        <v>28</v>
      </c>
      <c r="Q61" s="51" t="e">
        <f ca="1" t="shared" si="30"/>
        <v>#N/A</v>
      </c>
      <c r="R61" s="51" t="e">
        <f ca="1" t="shared" si="30"/>
        <v>#N/A</v>
      </c>
      <c r="S61" s="51" t="e">
        <f ca="1" t="shared" si="30"/>
        <v>#N/A</v>
      </c>
      <c r="T61" s="51" t="e">
        <f ca="1" t="shared" si="30"/>
        <v>#N/A</v>
      </c>
      <c r="U61" s="51" t="e">
        <f ca="1" t="shared" si="30"/>
        <v>#N/A</v>
      </c>
      <c r="V61" s="51" t="e">
        <f ca="1" t="shared" si="30"/>
        <v>#N/A</v>
      </c>
      <c r="W61" s="51"/>
      <c r="AE61" s="51" t="e">
        <f ca="1" t="shared" si="31"/>
        <v>#N/A</v>
      </c>
      <c r="AF61" s="51" t="e">
        <f ca="1" t="shared" si="31"/>
        <v>#N/A</v>
      </c>
      <c r="AG61" s="51" t="e">
        <f ca="1" t="shared" si="31"/>
        <v>#N/A</v>
      </c>
    </row>
    <row r="62" spans="1:33" ht="12.75">
      <c r="A62" s="51">
        <f ca="1" t="shared" si="25"/>
        <v>29</v>
      </c>
      <c r="B62" s="51">
        <f ca="1" t="shared" si="25"/>
        <v>0</v>
      </c>
      <c r="C62" s="51">
        <f ca="1" t="shared" si="25"/>
        <v>0</v>
      </c>
      <c r="D62" s="51">
        <f ca="1" t="shared" si="25"/>
      </c>
      <c r="E62" s="51">
        <f ca="1" t="shared" si="25"/>
      </c>
      <c r="F62" s="51">
        <f ca="1" t="shared" si="25"/>
      </c>
      <c r="G62" s="51">
        <f ca="1" t="shared" si="25"/>
      </c>
      <c r="H62" s="51">
        <f ca="1" t="shared" si="25"/>
      </c>
      <c r="I62" s="51">
        <f ca="1" t="shared" si="25"/>
      </c>
      <c r="J62" s="51">
        <f ca="1" t="shared" si="25"/>
      </c>
      <c r="K62" s="51">
        <f ca="1" t="shared" si="25"/>
        <v>0</v>
      </c>
      <c r="L62" s="51">
        <f ca="1" t="shared" si="25"/>
        <v>17</v>
      </c>
      <c r="M62" s="51">
        <v>29</v>
      </c>
      <c r="N62" s="51">
        <f ca="1" t="shared" si="29"/>
        <v>0</v>
      </c>
      <c r="O62" s="51">
        <f t="shared" si="28"/>
        <v>29</v>
      </c>
      <c r="Q62" s="51" t="e">
        <f ca="1" t="shared" si="30"/>
        <v>#N/A</v>
      </c>
      <c r="R62" s="51" t="e">
        <f ca="1" t="shared" si="30"/>
        <v>#N/A</v>
      </c>
      <c r="S62" s="51" t="e">
        <f ca="1" t="shared" si="30"/>
        <v>#N/A</v>
      </c>
      <c r="T62" s="51" t="e">
        <f ca="1" t="shared" si="30"/>
        <v>#N/A</v>
      </c>
      <c r="U62" s="51" t="e">
        <f ca="1" t="shared" si="30"/>
        <v>#N/A</v>
      </c>
      <c r="V62" s="51" t="e">
        <f ca="1" t="shared" si="30"/>
        <v>#N/A</v>
      </c>
      <c r="W62" s="51"/>
      <c r="AE62" s="51" t="e">
        <f ca="1" t="shared" si="31"/>
        <v>#N/A</v>
      </c>
      <c r="AF62" s="51" t="e">
        <f ca="1" t="shared" si="31"/>
        <v>#N/A</v>
      </c>
      <c r="AG62" s="51" t="e">
        <f ca="1" t="shared" si="31"/>
        <v>#N/A</v>
      </c>
    </row>
    <row r="63" spans="1:33" ht="12.75">
      <c r="A63" s="51">
        <f ca="1" t="shared" si="25"/>
        <v>30</v>
      </c>
      <c r="B63" s="51">
        <f ca="1" t="shared" si="25"/>
        <v>0</v>
      </c>
      <c r="C63" s="51">
        <f ca="1" t="shared" si="25"/>
        <v>0</v>
      </c>
      <c r="D63" s="51">
        <f ca="1" t="shared" si="25"/>
      </c>
      <c r="E63" s="51">
        <f ca="1" t="shared" si="25"/>
      </c>
      <c r="F63" s="51">
        <f ca="1" t="shared" si="25"/>
      </c>
      <c r="G63" s="51">
        <f ca="1" t="shared" si="25"/>
      </c>
      <c r="H63" s="51">
        <f ca="1" t="shared" si="25"/>
      </c>
      <c r="I63" s="51">
        <f ca="1" t="shared" si="25"/>
      </c>
      <c r="J63" s="51">
        <f ca="1" t="shared" si="25"/>
      </c>
      <c r="K63" s="51">
        <f ca="1" t="shared" si="25"/>
        <v>0</v>
      </c>
      <c r="L63" s="51">
        <f ca="1" t="shared" si="25"/>
        <v>17</v>
      </c>
      <c r="M63" s="51">
        <v>30</v>
      </c>
      <c r="N63" s="51">
        <f ca="1" t="shared" si="29"/>
        <v>0</v>
      </c>
      <c r="O63" s="51">
        <f t="shared" si="28"/>
        <v>30</v>
      </c>
      <c r="Q63" s="51" t="e">
        <f ca="1" t="shared" si="30"/>
        <v>#N/A</v>
      </c>
      <c r="R63" s="51" t="e">
        <f ca="1" t="shared" si="30"/>
        <v>#N/A</v>
      </c>
      <c r="S63" s="51" t="e">
        <f ca="1" t="shared" si="30"/>
        <v>#N/A</v>
      </c>
      <c r="T63" s="51" t="e">
        <f ca="1" t="shared" si="30"/>
        <v>#N/A</v>
      </c>
      <c r="U63" s="51" t="e">
        <f ca="1" t="shared" si="30"/>
        <v>#N/A</v>
      </c>
      <c r="V63" s="51" t="e">
        <f ca="1" t="shared" si="30"/>
        <v>#N/A</v>
      </c>
      <c r="W63" s="51"/>
      <c r="AE63" s="51" t="e">
        <f ca="1" t="shared" si="31"/>
        <v>#N/A</v>
      </c>
      <c r="AF63" s="51" t="e">
        <f ca="1" t="shared" si="31"/>
        <v>#N/A</v>
      </c>
      <c r="AG63" s="51" t="e">
        <f ca="1" t="shared" si="31"/>
        <v>#N/A</v>
      </c>
    </row>
  </sheetData>
  <sheetProtection sheet="1" objects="1" scenarios="1"/>
  <conditionalFormatting sqref="L34:M63 L2:M31">
    <cfRule type="cellIs" priority="1" dxfId="6" operator="equal" stopIfTrue="1">
      <formula>1</formula>
    </cfRule>
    <cfRule type="cellIs" priority="2" dxfId="7" operator="equal" stopIfTrue="1">
      <formula>2</formula>
    </cfRule>
    <cfRule type="cellIs" priority="3" dxfId="8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r:id="rId1"/>
  <rowBreaks count="1" manualBreakCount="1">
    <brk id="3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2"/>
  <sheetViews>
    <sheetView zoomScaleSheetLayoutView="100" workbookViewId="0" topLeftCell="A1">
      <selection activeCell="B2" sqref="B2"/>
    </sheetView>
  </sheetViews>
  <sheetFormatPr defaultColWidth="9.140625" defaultRowHeight="12.75"/>
  <cols>
    <col min="3" max="3" width="1.1484375" style="0" customWidth="1"/>
    <col min="4" max="4" width="12.00390625" style="0" customWidth="1"/>
    <col min="5" max="5" width="5.421875" style="0" customWidth="1"/>
    <col min="8" max="8" width="6.00390625" style="0" customWidth="1"/>
    <col min="9" max="9" width="12.140625" style="0" customWidth="1"/>
    <col min="10" max="10" width="6.7109375" style="0" customWidth="1"/>
    <col min="11" max="11" width="3.28125" style="0" customWidth="1"/>
    <col min="12" max="12" width="13.57421875" style="0" customWidth="1"/>
    <col min="14" max="14" width="1.1484375" style="0" customWidth="1"/>
    <col min="15" max="15" width="12.140625" style="0" customWidth="1"/>
    <col min="16" max="16" width="5.421875" style="0" customWidth="1"/>
    <col min="19" max="19" width="6.00390625" style="0" customWidth="1"/>
    <col min="20" max="20" width="12.140625" style="0" customWidth="1"/>
    <col min="21" max="21" width="6.7109375" style="0" customWidth="1"/>
    <col min="22" max="22" width="3.28125" style="0" customWidth="1"/>
    <col min="23" max="23" width="13.57421875" style="0" customWidth="1"/>
  </cols>
  <sheetData>
    <row r="1" spans="1:25" ht="12.75">
      <c r="A1" s="5" t="s">
        <v>70</v>
      </c>
      <c r="B1" s="132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3.75" customHeight="1">
      <c r="A2" s="5" t="s">
        <v>115</v>
      </c>
      <c r="B2" s="67">
        <f>MATCH(B1,'Match Schedule'!B$11:B$36,0)</f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5"/>
    </row>
    <row r="3" spans="1:25" ht="20.25">
      <c r="A3" s="5" t="s">
        <v>40</v>
      </c>
      <c r="B3" s="67">
        <f ca="1">OFFSET('Match Schedule'!$E$10,B2,0)</f>
        <v>5</v>
      </c>
      <c r="C3" s="87"/>
      <c r="D3" s="87"/>
      <c r="E3" s="125">
        <f>B3</f>
        <v>5</v>
      </c>
      <c r="F3" s="126" t="str">
        <f>A4</f>
        <v>Gears</v>
      </c>
      <c r="G3" s="87"/>
      <c r="H3" s="87"/>
      <c r="I3" s="87"/>
      <c r="J3" s="87"/>
      <c r="K3" s="87"/>
      <c r="L3" s="87"/>
      <c r="M3" s="87"/>
      <c r="N3" s="87"/>
      <c r="O3" s="87"/>
      <c r="P3" s="125">
        <f>B10</f>
        <v>6</v>
      </c>
      <c r="Q3" s="126" t="str">
        <f>A11</f>
        <v>40 Loyola SAPlings</v>
      </c>
      <c r="R3" s="87"/>
      <c r="S3" s="87"/>
      <c r="T3" s="87"/>
      <c r="U3" s="87"/>
      <c r="V3" s="87"/>
      <c r="W3" s="87"/>
      <c r="X3" s="87"/>
      <c r="Y3" s="5"/>
    </row>
    <row r="4" spans="1:25" ht="11.25" customHeight="1">
      <c r="A4" s="5" t="str">
        <f ca="1">OFFSET('Match Schedule'!$F$10,B2,0)</f>
        <v>Gears</v>
      </c>
      <c r="B4" s="5"/>
      <c r="C4" s="87"/>
      <c r="D4" s="87"/>
      <c r="E4" s="87"/>
      <c r="F4" s="127" t="str">
        <f>"(Attempt "&amp;B7&amp;")"</f>
        <v>(Attempt 1)</v>
      </c>
      <c r="G4" s="87"/>
      <c r="H4" s="87"/>
      <c r="I4" s="87"/>
      <c r="J4" s="87"/>
      <c r="K4" s="87"/>
      <c r="L4" s="128" t="s">
        <v>117</v>
      </c>
      <c r="M4" s="87"/>
      <c r="N4" s="87"/>
      <c r="O4" s="87"/>
      <c r="P4" s="87"/>
      <c r="Q4" s="127" t="str">
        <f>"(Attempt "&amp;B14&amp;")"</f>
        <v>(Attempt 1)</v>
      </c>
      <c r="R4" s="87"/>
      <c r="S4" s="87"/>
      <c r="T4" s="87"/>
      <c r="U4" s="87"/>
      <c r="V4" s="87"/>
      <c r="W4" s="128" t="s">
        <v>117</v>
      </c>
      <c r="X4" s="87"/>
      <c r="Y4" s="5"/>
    </row>
    <row r="5" spans="1:25" ht="16.5" customHeight="1">
      <c r="A5" s="5" t="s">
        <v>66</v>
      </c>
      <c r="B5" s="67" t="str">
        <f ca="1">OFFSET('Match Schedule'!$S$10,B2,0)</f>
        <v>A</v>
      </c>
      <c r="C5" s="87"/>
      <c r="D5" s="87"/>
      <c r="E5" s="125" t="str">
        <f>B5</f>
        <v>A</v>
      </c>
      <c r="F5" s="129" t="str">
        <f>"Match "&amp;B1</f>
        <v>Match 1</v>
      </c>
      <c r="G5" s="87"/>
      <c r="H5" s="87"/>
      <c r="I5" s="87"/>
      <c r="J5" s="131" t="str">
        <f>B6</f>
        <v>A1</v>
      </c>
      <c r="K5" s="87"/>
      <c r="L5" s="130">
        <f>B8</f>
        <v>0.5625</v>
      </c>
      <c r="M5" s="87"/>
      <c r="N5" s="87"/>
      <c r="O5" s="87"/>
      <c r="P5" s="125" t="str">
        <f>B12</f>
        <v>A</v>
      </c>
      <c r="Q5" s="129" t="str">
        <f>"Match "&amp;B1</f>
        <v>Match 1</v>
      </c>
      <c r="R5" s="87"/>
      <c r="S5" s="87"/>
      <c r="T5" s="87"/>
      <c r="U5" s="131" t="str">
        <f>B13</f>
        <v>A2</v>
      </c>
      <c r="V5" s="87"/>
      <c r="W5" s="130">
        <f>B15</f>
        <v>0.5625</v>
      </c>
      <c r="X5" s="87"/>
      <c r="Y5" s="5"/>
    </row>
    <row r="6" spans="1:25" ht="12.75">
      <c r="A6" s="5" t="s">
        <v>71</v>
      </c>
      <c r="B6" s="67" t="str">
        <f ca="1">OFFSET('Match Schedule'!$D$10,B2,0)</f>
        <v>A1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5"/>
    </row>
    <row r="7" spans="1:25" ht="12.75">
      <c r="A7" s="5">
        <v>-13.71</v>
      </c>
      <c r="B7" s="67">
        <f ca="1">OFFSET('Match Schedule'!$M$10,B2,0)</f>
        <v>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5"/>
    </row>
    <row r="8" spans="1:25" ht="12.75">
      <c r="A8" s="5" t="s">
        <v>116</v>
      </c>
      <c r="B8" s="124">
        <f ca="1">OFFSET('Match Schedule'!$C$10,B2,0)</f>
        <v>0.5625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5"/>
    </row>
    <row r="9" spans="1:25" ht="12.75">
      <c r="A9" s="5"/>
      <c r="B9" s="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5"/>
    </row>
    <row r="10" spans="1:25" ht="12.75">
      <c r="A10" s="5" t="s">
        <v>40</v>
      </c>
      <c r="B10" s="67">
        <f ca="1">OFFSET('Match Schedule'!$I$10,B2,0)</f>
        <v>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5"/>
    </row>
    <row r="11" spans="1:25" ht="12.75">
      <c r="A11" s="5" t="str">
        <f ca="1">OFFSET('Match Schedule'!$J$10,B2,0)</f>
        <v>40 Loyola SAPlings</v>
      </c>
      <c r="B11" s="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5"/>
    </row>
    <row r="12" spans="1:25" ht="12.75">
      <c r="A12" s="5" t="s">
        <v>66</v>
      </c>
      <c r="B12" s="67" t="str">
        <f>B5</f>
        <v>A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5"/>
    </row>
    <row r="13" spans="1:25" ht="12.75">
      <c r="A13" s="5" t="s">
        <v>71</v>
      </c>
      <c r="B13" s="67" t="str">
        <f ca="1">OFFSET('Match Schedule'!$H$10,B2,0)</f>
        <v>A2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5"/>
    </row>
    <row r="14" spans="1:25" ht="12.75">
      <c r="A14" s="5" t="s">
        <v>114</v>
      </c>
      <c r="B14" s="67">
        <f ca="1">OFFSET('Match Schedule'!$N$10,B2,0)</f>
        <v>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5"/>
    </row>
    <row r="15" spans="1:25" ht="12.75">
      <c r="A15" s="5" t="s">
        <v>116</v>
      </c>
      <c r="B15" s="124">
        <f>B8</f>
        <v>0.5625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5"/>
    </row>
    <row r="16" spans="1:25" ht="12.75">
      <c r="A16" s="5"/>
      <c r="B16" s="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5"/>
    </row>
    <row r="17" spans="1:25" ht="12.75">
      <c r="A17" s="5"/>
      <c r="B17" s="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5"/>
    </row>
    <row r="18" spans="1:25" ht="12.75">
      <c r="A18" s="5">
        <v>15.71</v>
      </c>
      <c r="B18" s="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5"/>
    </row>
    <row r="19" spans="1:25" ht="12.75">
      <c r="A19" s="5">
        <v>11.14</v>
      </c>
      <c r="B19" s="5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5"/>
    </row>
    <row r="20" spans="1:25" ht="12.75">
      <c r="A20" s="5">
        <f>A18-A19</f>
        <v>4.57</v>
      </c>
      <c r="B20" s="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5"/>
    </row>
    <row r="21" spans="1:25" ht="12.75">
      <c r="A21" s="5"/>
      <c r="B21" s="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5"/>
    </row>
    <row r="22" spans="1:25" ht="12.75">
      <c r="A22" s="5">
        <v>6.86</v>
      </c>
      <c r="B22" s="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5"/>
    </row>
    <row r="23" spans="1:25" ht="12.75">
      <c r="A23" s="5">
        <f>A22+A20</f>
        <v>11.43</v>
      </c>
      <c r="B23" s="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5"/>
    </row>
    <row r="24" spans="1:25" ht="12.75">
      <c r="A24" s="5"/>
      <c r="B24" s="5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5"/>
    </row>
    <row r="25" spans="1:25" ht="12.75">
      <c r="A25" s="5"/>
      <c r="B25" s="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5"/>
    </row>
    <row r="26" spans="1:25" ht="12.75">
      <c r="A26" s="5"/>
      <c r="B26" s="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5"/>
    </row>
    <row r="27" spans="1:25" ht="12.75">
      <c r="A27" s="5"/>
      <c r="B27" s="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5"/>
    </row>
    <row r="28" spans="1:25" ht="12.75">
      <c r="A28" s="5"/>
      <c r="B28" s="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5"/>
    </row>
    <row r="29" spans="1:25" ht="12.75">
      <c r="A29" s="5"/>
      <c r="B29" s="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5"/>
    </row>
    <row r="30" spans="1:25" ht="12.75">
      <c r="A30" s="5"/>
      <c r="B30" s="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5"/>
    </row>
    <row r="31" spans="1:25" ht="12.75">
      <c r="A31" s="5"/>
      <c r="B31" s="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5"/>
    </row>
    <row r="32" spans="1:25" ht="12.75">
      <c r="A32" s="5"/>
      <c r="B32" s="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5"/>
    </row>
    <row r="33" spans="1:25" ht="12.75">
      <c r="A33" s="5"/>
      <c r="B33" s="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5"/>
    </row>
    <row r="34" spans="1:25" ht="12.75">
      <c r="A34" s="5"/>
      <c r="B34" s="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5"/>
    </row>
    <row r="35" spans="1:25" ht="12.75">
      <c r="A35" s="5"/>
      <c r="B35" s="5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5"/>
    </row>
    <row r="36" spans="1:25" ht="12.75">
      <c r="A36" s="5"/>
      <c r="B36" s="5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5"/>
    </row>
    <row r="37" spans="1:25" ht="12.75">
      <c r="A37" s="5"/>
      <c r="B37" s="5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5"/>
    </row>
    <row r="38" spans="1:25" ht="12.75">
      <c r="A38" s="5"/>
      <c r="B38" s="5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5"/>
    </row>
    <row r="39" spans="1:25" ht="12.75">
      <c r="A39" s="5"/>
      <c r="B39" s="5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5"/>
    </row>
    <row r="40" spans="1:25" ht="12.75">
      <c r="A40" s="5"/>
      <c r="B40" s="5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5"/>
    </row>
    <row r="41" spans="1:25" ht="12.75">
      <c r="A41" s="5"/>
      <c r="B41" s="5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5"/>
    </row>
    <row r="42" spans="1:25" ht="12.75">
      <c r="A42" s="5"/>
      <c r="B42" s="5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5"/>
    </row>
    <row r="43" spans="1:25" ht="12.75">
      <c r="A43" s="5"/>
      <c r="B43" s="5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5"/>
    </row>
    <row r="44" spans="1:25" ht="12.75">
      <c r="A44" s="5"/>
      <c r="B44" s="5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5"/>
    </row>
    <row r="45" spans="1:25" ht="12.75">
      <c r="A45" s="5"/>
      <c r="B45" s="5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5"/>
    </row>
    <row r="46" spans="1:25" ht="12.75">
      <c r="A46" s="5"/>
      <c r="B46" s="5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5"/>
    </row>
    <row r="47" spans="1:25" ht="12.75">
      <c r="A47" s="5"/>
      <c r="B47" s="5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5"/>
    </row>
    <row r="48" spans="1:25" ht="12.75">
      <c r="A48" s="5"/>
      <c r="B48" s="5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5"/>
    </row>
    <row r="49" spans="1:25" ht="12.75">
      <c r="A49" s="5"/>
      <c r="B49" s="5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5"/>
    </row>
    <row r="50" spans="1:25" ht="12.75">
      <c r="A50" s="5"/>
      <c r="B50" s="5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5"/>
    </row>
    <row r="51" spans="1:25" ht="12.75">
      <c r="A51" s="5"/>
      <c r="B51" s="5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5"/>
    </row>
    <row r="52" spans="1:25" ht="12.75">
      <c r="A52" s="5"/>
      <c r="B52" s="5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5"/>
    </row>
    <row r="53" spans="1:25" ht="12.75">
      <c r="A53" s="5"/>
      <c r="B53" s="5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5"/>
    </row>
    <row r="54" spans="1:25" ht="12.75">
      <c r="A54" s="5"/>
      <c r="B54" s="5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5"/>
    </row>
    <row r="55" spans="1:25" ht="12.75">
      <c r="A55" s="5"/>
      <c r="B55" s="5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5"/>
    </row>
    <row r="56" spans="1:25" ht="12.75">
      <c r="A56" s="5"/>
      <c r="B56" s="5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5"/>
    </row>
    <row r="57" spans="1:25" ht="12.75">
      <c r="A57" s="5"/>
      <c r="B57" s="5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5"/>
    </row>
    <row r="58" spans="1:25" ht="12.75">
      <c r="A58" s="5"/>
      <c r="B58" s="5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5"/>
    </row>
    <row r="59" spans="1:25" ht="12.75">
      <c r="A59" s="5"/>
      <c r="B59" s="5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5"/>
    </row>
    <row r="60" spans="1:25" ht="25.5" customHeight="1">
      <c r="A60" s="5"/>
      <c r="B60" s="5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5"/>
    </row>
    <row r="61" spans="1:25" ht="3.75" customHeight="1">
      <c r="A61" s="5"/>
      <c r="B61" s="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5"/>
    </row>
    <row r="62" spans="1:2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</sheetData>
  <printOptions/>
  <pageMargins left="0.1" right="0.1" top="0.1" bottom="0.1" header="0.1" footer="0.1"/>
  <pageSetup horizontalDpi="300" verticalDpi="300" orientation="portrait" r:id="rId1"/>
  <colBreaks count="1" manualBreakCount="1">
    <brk id="13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Robotics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Putz</dc:creator>
  <cp:keywords/>
  <dc:description/>
  <cp:lastModifiedBy>Steve Putz</cp:lastModifiedBy>
  <cp:lastPrinted>2011-11-16T18:55:11Z</cp:lastPrinted>
  <dcterms:created xsi:type="dcterms:W3CDTF">2011-10-20T05:03:12Z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