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8915" windowHeight="10320" tabRatio="711" activeTab="4"/>
  </bookViews>
  <sheets>
    <sheet name="Score Details" sheetId="1" r:id="rId1"/>
    <sheet name="Instructions" sheetId="2" r:id="rId2"/>
    <sheet name="Teams" sheetId="3" r:id="rId3"/>
    <sheet name="Match Schedule" sheetId="4" r:id="rId4"/>
    <sheet name="Score Entry" sheetId="5" r:id="rId5"/>
    <sheet name="Score List" sheetId="6" r:id="rId6"/>
    <sheet name="Scores by Team" sheetId="7" r:id="rId7"/>
    <sheet name="Scores by Rank" sheetId="8" r:id="rId8"/>
    <sheet name="TeamsData" sheetId="9" r:id="rId9"/>
  </sheets>
  <definedNames>
    <definedName name="_xlnm._FilterDatabase" localSheetId="5" hidden="1">'Score List'!$A$1:$S$98</definedName>
    <definedName name="_xlnm.Print_Area" localSheetId="1">'Instructions'!$A$1:$A$26</definedName>
    <definedName name="_xlnm.Print_Area" localSheetId="3">'Match Schedule'!$A$1:$I$115</definedName>
    <definedName name="_xlnm.Print_Area" localSheetId="0">'Score Details'!$B$1:$U$77</definedName>
    <definedName name="_xlnm.Print_Area" localSheetId="4">'Score Entry'!$A$1:$AK$37</definedName>
    <definedName name="_xlnm.Print_Area" localSheetId="5">'Score List'!$A$1:$S$74</definedName>
    <definedName name="_xlnm.Print_Area" localSheetId="8">'TeamsData'!$A$1:$N$63</definedName>
    <definedName name="_xlnm.Print_Titles" localSheetId="0">'Score Details'!$1:$1</definedName>
  </definedNames>
  <calcPr fullCalcOnLoad="1"/>
</workbook>
</file>

<file path=xl/sharedStrings.xml><?xml version="1.0" encoding="utf-8"?>
<sst xmlns="http://schemas.openxmlformats.org/spreadsheetml/2006/main" count="424" uniqueCount="222">
  <si>
    <t>Good Bacteria</t>
  </si>
  <si>
    <t>Farm Fresh Produce</t>
  </si>
  <si>
    <t>Pest Removal</t>
  </si>
  <si>
    <t>Pizza and Ice Cream</t>
  </si>
  <si>
    <t>Fishing</t>
  </si>
  <si>
    <t>Disinfect</t>
  </si>
  <si>
    <t>Corn Harvest</t>
  </si>
  <si>
    <t>Pollution Reversal</t>
  </si>
  <si>
    <t>Distant Travel</t>
  </si>
  <si>
    <t>Groceries</t>
  </si>
  <si>
    <t>Cooking Time</t>
  </si>
  <si>
    <t>Storage Temperature</t>
  </si>
  <si>
    <t>Refrigerated Ground Transport</t>
  </si>
  <si>
    <t>Team Pit #:</t>
  </si>
  <si>
    <t>Timer - pointer in red zone</t>
  </si>
  <si>
    <t>Yellow truck in base</t>
  </si>
  <si>
    <t>Pizza/ice cream in base</t>
  </si>
  <si>
    <t>Rats in base</t>
  </si>
  <si>
    <t>Big fish in base</t>
  </si>
  <si>
    <t>Baby fish on mark</t>
  </si>
  <si>
    <t>Dispensers empty</t>
  </si>
  <si>
    <t>Bacteria on mat outside base</t>
  </si>
  <si>
    <t>Corn…</t>
  </si>
  <si>
    <t>Balls touching mat</t>
  </si>
  <si>
    <t>Robot touching East wall</t>
  </si>
  <si>
    <t>Grocery units on table</t>
  </si>
  <si>
    <t>Thermometer - low temp</t>
  </si>
  <si>
    <t>Bacteria in sink</t>
  </si>
  <si>
    <t>Tens digit:</t>
  </si>
  <si>
    <t>Ones digit:</t>
  </si>
  <si>
    <t>Virus in sink</t>
  </si>
  <si>
    <t>Big fish in trailer</t>
  </si>
  <si>
    <t>White trailer…</t>
  </si>
  <si>
    <t>Yellow Bacteria in Base</t>
  </si>
  <si>
    <t>Team Name:</t>
  </si>
  <si>
    <t>Score:</t>
  </si>
  <si>
    <t>Hand Wash - Bacteria</t>
  </si>
  <si>
    <t>Hand Wash - Virus</t>
  </si>
  <si>
    <t>10b</t>
  </si>
  <si>
    <t>10a</t>
  </si>
  <si>
    <t>Pit #</t>
  </si>
  <si>
    <t>FLL #</t>
  </si>
  <si>
    <t>Team Name</t>
  </si>
  <si>
    <t>Team Pit #</t>
  </si>
  <si>
    <t>Team Attempt</t>
  </si>
  <si>
    <t>SCORE</t>
  </si>
  <si>
    <t>Produce</t>
  </si>
  <si>
    <t>Pizza Ice Cream</t>
  </si>
  <si>
    <t>Pollution</t>
  </si>
  <si>
    <t>Trailer</t>
  </si>
  <si>
    <t>Sink Bacteria</t>
  </si>
  <si>
    <t>Sink Virus</t>
  </si>
  <si>
    <t>Temperature</t>
  </si>
  <si>
    <t>Timer</t>
  </si>
  <si>
    <t>Travel</t>
  </si>
  <si>
    <t>Pest Control</t>
  </si>
  <si>
    <t>round</t>
  </si>
  <si>
    <t>Pit</t>
  </si>
  <si>
    <t>High</t>
  </si>
  <si>
    <t>Rank</t>
  </si>
  <si>
    <t>Order</t>
  </si>
  <si>
    <t>comb2</t>
  </si>
  <si>
    <t>comb1</t>
  </si>
  <si>
    <t>NOTE: EDITING THIS WORKSHEET MAY BREAK THE SCORE DISPLAY PAGE, ETC.</t>
  </si>
  <si>
    <t>index</t>
  </si>
  <si>
    <t>Teams Ranked by High Score</t>
  </si>
  <si>
    <t>Round</t>
  </si>
  <si>
    <t>Time Now:</t>
  </si>
  <si>
    <t>Score</t>
  </si>
  <si>
    <t>Teams</t>
  </si>
  <si>
    <t>Rounds</t>
  </si>
  <si>
    <t>Match</t>
  </si>
  <si>
    <t>Table</t>
  </si>
  <si>
    <r>
      <t>Team</t>
    </r>
    <r>
      <rPr>
        <sz val="10"/>
        <rFont val="Arial"/>
        <family val="2"/>
      </rPr>
      <t xml:space="preserve"> (enter slot # in prev column)</t>
    </r>
  </si>
  <si>
    <t>Up #</t>
  </si>
  <si>
    <t>Est Time</t>
  </si>
  <si>
    <t>Actual Time</t>
  </si>
  <si>
    <t>Status</t>
  </si>
  <si>
    <t>How Soon</t>
  </si>
  <si>
    <t>A1</t>
  </si>
  <si>
    <t>A2</t>
  </si>
  <si>
    <t>B1</t>
  </si>
  <si>
    <t>B2</t>
  </si>
  <si>
    <t>C1</t>
  </si>
  <si>
    <t>C2</t>
  </si>
  <si>
    <t>Notes</t>
  </si>
  <si>
    <t>interval</t>
  </si>
  <si>
    <t>add min</t>
  </si>
  <si>
    <t>date:</t>
  </si>
  <si>
    <t>START</t>
  </si>
  <si>
    <t>start:</t>
  </si>
  <si>
    <t>interval:</t>
  </si>
  <si>
    <t>&lt; numbers in the</t>
  </si>
  <si>
    <t>&lt; add min column</t>
  </si>
  <si>
    <t>&lt; will adjust the</t>
  </si>
  <si>
    <t>&lt; schedule</t>
  </si>
  <si>
    <t>^ use this</t>
  </si>
  <si>
    <t>^ to remove</t>
  </si>
  <si>
    <t>^ empty slots</t>
  </si>
  <si>
    <t>tag</t>
  </si>
  <si>
    <t>Instructions</t>
  </si>
  <si>
    <t>Enter team names and FLL numbers into the Teams worksheet</t>
  </si>
  <si>
    <t>Enter the date, start time and interval values in the Match Schedule worksheet to provide estimated schedule times</t>
  </si>
  <si>
    <t>The referee does not calculate or fill in the numeric scores.</t>
  </si>
  <si>
    <t>Results can be viewed on several sheets: Match Schedule, Score List, Score Display, Scores by Team</t>
  </si>
  <si>
    <t>On the Match Schedule worksheet, the schedule can be updated by entering times into the Actual Time column.</t>
  </si>
  <si>
    <t>Make sure to include "PM" on afternoon times.</t>
  </si>
  <si>
    <t>Ths workbook was created by Steve Putz (steve@RoboticsLearning.com) www.RoboticsLearning.com</t>
  </si>
  <si>
    <t>This version of the Food Factor FLL Scoring workbook is for practice scrimmages where teams are not pre-scheduled.</t>
  </si>
  <si>
    <t>Print copies of the Official Scoresheet page for referees (see www.firstLegoLeague.org)</t>
  </si>
  <si>
    <t>Referee enters team pit #, team name, table number, time match started, referee name, and marks completed missions</t>
  </si>
  <si>
    <t>Enter team pit numbers into the Match Schedule worksheet as teams are ready</t>
  </si>
  <si>
    <t>Score keeper enters the team pit number and score results into the Score Entry sheet then press the Record Score button</t>
  </si>
  <si>
    <t>This workbook is set up for a maximum of 30 teams.</t>
  </si>
  <si>
    <t>The Score Display pages currently only work if exactly 30 teams are entered on the Teams page  (use "-" for unused slots)</t>
  </si>
  <si>
    <t>Another version exists for pre-scheduled tournaments of 16 teams.</t>
  </si>
  <si>
    <t>-</t>
  </si>
  <si>
    <t>40 Loyola SAPlings</t>
  </si>
  <si>
    <t>Adroits</t>
  </si>
  <si>
    <t>Eaglebots</t>
  </si>
  <si>
    <t>Gutbusters</t>
  </si>
  <si>
    <t>JOACK</t>
  </si>
  <si>
    <t>Kung Food</t>
  </si>
  <si>
    <t>Lego Lightning</t>
  </si>
  <si>
    <t>Lightning Bots</t>
  </si>
  <si>
    <t>Mat Scientists</t>
  </si>
  <si>
    <t>Mechanxt</t>
  </si>
  <si>
    <t>Mysterious Skeleton Squirrels</t>
  </si>
  <si>
    <t>Nano-bugs</t>
  </si>
  <si>
    <t>N-Knacks-T</t>
  </si>
  <si>
    <t>Peaceful Programmers</t>
  </si>
  <si>
    <t>robokids</t>
  </si>
  <si>
    <t>Robot-Arbiters</t>
  </si>
  <si>
    <t>Robotic Ravioli</t>
  </si>
  <si>
    <t>SAP Explorers</t>
  </si>
  <si>
    <t>SAPP0WER4</t>
  </si>
  <si>
    <t>Smart Cookies</t>
  </si>
  <si>
    <t>The Other Team Again</t>
  </si>
  <si>
    <t>Vikings</t>
  </si>
  <si>
    <t>Xtreme Creators</t>
  </si>
  <si>
    <t>Robotics space girls (S)</t>
  </si>
  <si>
    <t>Hazardous Waste</t>
  </si>
  <si>
    <t>8R1</t>
  </si>
  <si>
    <t>3R1</t>
  </si>
  <si>
    <t>10R1</t>
  </si>
  <si>
    <t>26R1</t>
  </si>
  <si>
    <t>19R1</t>
  </si>
  <si>
    <t>14R1</t>
  </si>
  <si>
    <t>17R1</t>
  </si>
  <si>
    <t>5R1</t>
  </si>
  <si>
    <t>16R1</t>
  </si>
  <si>
    <t>9R1</t>
  </si>
  <si>
    <t>22R1</t>
  </si>
  <si>
    <t>18R1</t>
  </si>
  <si>
    <t>11R1</t>
  </si>
  <si>
    <t>15R1</t>
  </si>
  <si>
    <t>12R1</t>
  </si>
  <si>
    <t>2R1</t>
  </si>
  <si>
    <t>20R1</t>
  </si>
  <si>
    <t>6R1</t>
  </si>
  <si>
    <t>7R1</t>
  </si>
  <si>
    <t>25R1</t>
  </si>
  <si>
    <t>19R2</t>
  </si>
  <si>
    <t>1R1</t>
  </si>
  <si>
    <t>23R1</t>
  </si>
  <si>
    <t>24R1</t>
  </si>
  <si>
    <t>21R1</t>
  </si>
  <si>
    <t>26R2</t>
  </si>
  <si>
    <t>5R2</t>
  </si>
  <si>
    <t>16R2</t>
  </si>
  <si>
    <t>10R2</t>
  </si>
  <si>
    <t>17R2</t>
  </si>
  <si>
    <t>14R2</t>
  </si>
  <si>
    <t>7R2</t>
  </si>
  <si>
    <t>3R2</t>
  </si>
  <si>
    <t>11R2</t>
  </si>
  <si>
    <t>27R1</t>
  </si>
  <si>
    <t>15R2</t>
  </si>
  <si>
    <t>22R2</t>
  </si>
  <si>
    <t>9R2</t>
  </si>
  <si>
    <t>12R2</t>
  </si>
  <si>
    <t>6R2</t>
  </si>
  <si>
    <t>2R2</t>
  </si>
  <si>
    <t>20R2</t>
  </si>
  <si>
    <t>25R2</t>
  </si>
  <si>
    <t>23R2</t>
  </si>
  <si>
    <t>8R2</t>
  </si>
  <si>
    <t>24R2</t>
  </si>
  <si>
    <t>18R2</t>
  </si>
  <si>
    <t>21R2</t>
  </si>
  <si>
    <t>16R3</t>
  </si>
  <si>
    <t>5R3</t>
  </si>
  <si>
    <t>26R3</t>
  </si>
  <si>
    <t>10R3</t>
  </si>
  <si>
    <t>14R3</t>
  </si>
  <si>
    <t>19R3</t>
  </si>
  <si>
    <t>1R2</t>
  </si>
  <si>
    <t>27R2</t>
  </si>
  <si>
    <t>3R3</t>
  </si>
  <si>
    <t>11R3</t>
  </si>
  <si>
    <t>1R3</t>
  </si>
  <si>
    <t>9R3</t>
  </si>
  <si>
    <t>7R3</t>
  </si>
  <si>
    <t>26R4</t>
  </si>
  <si>
    <t>15R3</t>
  </si>
  <si>
    <t>18R3</t>
  </si>
  <si>
    <t>6R3</t>
  </si>
  <si>
    <t>20R3</t>
  </si>
  <si>
    <t>23R3</t>
  </si>
  <si>
    <t>8R3</t>
  </si>
  <si>
    <t>2R3</t>
  </si>
  <si>
    <t>17R3</t>
  </si>
  <si>
    <t>27R3</t>
  </si>
  <si>
    <t>10R4</t>
  </si>
  <si>
    <t>14R4</t>
  </si>
  <si>
    <t>16R4</t>
  </si>
  <si>
    <t>25R3</t>
  </si>
  <si>
    <t>5R4</t>
  </si>
  <si>
    <t>Score List row 79: Team 5 Gutbusters score #4: 128</t>
  </si>
  <si>
    <t>Robotics space girls</t>
  </si>
  <si>
    <t>Rank Num</t>
  </si>
  <si>
    <t>The Score Details sheet was sorted and edited by hand.  All other sheets get data from the Score List and other sheets.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</si>
</sst>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1" fillId="5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0" fontId="1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0" fontId="1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1" fillId="5" borderId="0" xfId="0" applyFont="1" applyFill="1" applyAlignment="1">
      <alignment horizontal="right"/>
    </xf>
    <xf numFmtId="0" fontId="0" fillId="5" borderId="0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0" fillId="5" borderId="7" xfId="0" applyFill="1" applyBorder="1" applyAlignment="1">
      <alignment/>
    </xf>
    <xf numFmtId="0" fontId="1" fillId="5" borderId="7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1" fillId="5" borderId="11" xfId="0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1" fillId="5" borderId="0" xfId="0" applyFont="1" applyFill="1" applyAlignment="1" quotePrefix="1">
      <alignment horizontal="right"/>
    </xf>
    <xf numFmtId="0" fontId="1" fillId="5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6" borderId="5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 locked="0"/>
    </xf>
    <xf numFmtId="0" fontId="0" fillId="7" borderId="0" xfId="0" applyFont="1" applyFill="1" applyBorder="1" applyAlignment="1" applyProtection="1">
      <alignment horizontal="right"/>
      <protection locked="0"/>
    </xf>
    <xf numFmtId="0" fontId="0" fillId="3" borderId="0" xfId="0" applyFont="1" applyFill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right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0" fontId="3" fillId="5" borderId="0" xfId="0" applyFont="1" applyFill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top" textRotation="90"/>
    </xf>
    <xf numFmtId="0" fontId="5" fillId="3" borderId="14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16" xfId="0" applyFont="1" applyBorder="1" applyAlignment="1">
      <alignment/>
    </xf>
    <xf numFmtId="0" fontId="0" fillId="5" borderId="0" xfId="0" applyFill="1" applyAlignment="1">
      <alignment horizontal="right"/>
    </xf>
    <xf numFmtId="0" fontId="0" fillId="8" borderId="0" xfId="0" applyFill="1" applyAlignment="1" applyProtection="1">
      <alignment/>
      <protection locked="0"/>
    </xf>
    <xf numFmtId="0" fontId="1" fillId="0" borderId="5" xfId="0" applyFont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6" borderId="5" xfId="0" applyFill="1" applyBorder="1" applyAlignment="1">
      <alignment/>
    </xf>
    <xf numFmtId="0" fontId="0" fillId="3" borderId="0" xfId="0" applyFill="1" applyAlignment="1">
      <alignment horizontal="center"/>
    </xf>
    <xf numFmtId="0" fontId="4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5" fillId="0" borderId="14" xfId="0" applyFont="1" applyFill="1" applyBorder="1" applyAlignment="1">
      <alignment/>
    </xf>
    <xf numFmtId="0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1" fillId="10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18" fontId="1" fillId="2" borderId="3" xfId="0" applyNumberFormat="1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left"/>
    </xf>
    <xf numFmtId="18" fontId="1" fillId="0" borderId="5" xfId="0" applyNumberFormat="1" applyFont="1" applyBorder="1" applyAlignment="1" applyProtection="1">
      <alignment/>
      <protection/>
    </xf>
    <xf numFmtId="18" fontId="0" fillId="0" borderId="5" xfId="0" applyNumberFormat="1" applyBorder="1" applyAlignment="1" applyProtection="1">
      <alignment/>
      <protection locked="0"/>
    </xf>
    <xf numFmtId="20" fontId="0" fillId="0" borderId="5" xfId="0" applyNumberFormat="1" applyBorder="1" applyAlignment="1" applyProtection="1">
      <alignment/>
      <protection/>
    </xf>
    <xf numFmtId="18" fontId="0" fillId="0" borderId="5" xfId="0" applyNumberForma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20" fontId="1" fillId="0" borderId="0" xfId="0" applyNumberFormat="1" applyFont="1" applyAlignment="1">
      <alignment/>
    </xf>
    <xf numFmtId="0" fontId="0" fillId="0" borderId="0" xfId="0" applyFill="1" applyAlignment="1" applyProtection="1">
      <alignment horizontal="right"/>
      <protection locked="0"/>
    </xf>
    <xf numFmtId="20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14" fontId="1" fillId="6" borderId="5" xfId="0" applyNumberFormat="1" applyFont="1" applyFill="1" applyBorder="1" applyAlignment="1" applyProtection="1">
      <alignment/>
      <protection locked="0"/>
    </xf>
    <xf numFmtId="18" fontId="1" fillId="6" borderId="5" xfId="0" applyNumberFormat="1" applyFont="1" applyFill="1" applyBorder="1" applyAlignment="1" applyProtection="1">
      <alignment horizontal="right"/>
      <protection locked="0"/>
    </xf>
    <xf numFmtId="47" fontId="1" fillId="6" borderId="5" xfId="0" applyNumberFormat="1" applyFont="1" applyFill="1" applyBorder="1" applyAlignment="1" applyProtection="1">
      <alignment/>
      <protection locked="0"/>
    </xf>
    <xf numFmtId="0" fontId="11" fillId="5" borderId="17" xfId="0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1" fillId="3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Border="1" applyAlignment="1">
      <alignment horizontal="center" textRotation="90"/>
    </xf>
    <xf numFmtId="0" fontId="5" fillId="0" borderId="6" xfId="0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 textRotation="90"/>
    </xf>
    <xf numFmtId="0" fontId="1" fillId="0" borderId="32" xfId="0" applyFont="1" applyBorder="1" applyAlignment="1">
      <alignment horizontal="center" textRotation="90"/>
    </xf>
    <xf numFmtId="0" fontId="12" fillId="0" borderId="21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6" fillId="10" borderId="14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9">
    <dxf>
      <fill>
        <patternFill>
          <bgColor rgb="FFFFFF99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  <dxf>
      <font>
        <color rgb="FF008000"/>
      </font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AL77"/>
  <sheetViews>
    <sheetView workbookViewId="0" topLeftCell="A50">
      <selection activeCell="A79" sqref="A79:T79"/>
    </sheetView>
  </sheetViews>
  <sheetFormatPr defaultColWidth="9.140625" defaultRowHeight="12.75"/>
  <cols>
    <col min="1" max="1" width="3.28125" style="52" bestFit="1" customWidth="1"/>
    <col min="2" max="2" width="5.28125" style="0" customWidth="1"/>
    <col min="3" max="3" width="6.140625" style="0" bestFit="1" customWidth="1"/>
    <col min="4" max="4" width="25.8515625" style="52" bestFit="1" customWidth="1"/>
    <col min="5" max="5" width="3.28125" style="134" bestFit="1" customWidth="1"/>
    <col min="6" max="6" width="6.00390625" style="143" bestFit="1" customWidth="1"/>
    <col min="7" max="21" width="3.28125" style="134" bestFit="1" customWidth="1"/>
    <col min="22" max="22" width="6.8515625" style="52" customWidth="1"/>
    <col min="24" max="24" width="3.00390625" style="0" bestFit="1" customWidth="1"/>
    <col min="25" max="25" width="2.00390625" style="0" bestFit="1" customWidth="1"/>
    <col min="26" max="27" width="3.00390625" style="0" bestFit="1" customWidth="1"/>
    <col min="28" max="28" width="2.00390625" style="0" bestFit="1" customWidth="1"/>
    <col min="29" max="29" width="3.00390625" style="0" bestFit="1" customWidth="1"/>
    <col min="30" max="31" width="2.00390625" style="0" bestFit="1" customWidth="1"/>
    <col min="32" max="32" width="3.00390625" style="0" bestFit="1" customWidth="1"/>
    <col min="33" max="34" width="2.00390625" style="0" bestFit="1" customWidth="1"/>
    <col min="35" max="37" width="3.00390625" style="0" bestFit="1" customWidth="1"/>
    <col min="38" max="38" width="2.00390625" style="0" bestFit="1" customWidth="1"/>
  </cols>
  <sheetData>
    <row r="1" spans="1:23" ht="84.75" customHeight="1" thickBot="1">
      <c r="A1" s="120" t="s">
        <v>43</v>
      </c>
      <c r="B1" s="135" t="s">
        <v>59</v>
      </c>
      <c r="C1" s="136" t="s">
        <v>41</v>
      </c>
      <c r="D1" s="136" t="s">
        <v>42</v>
      </c>
      <c r="E1" s="137" t="s">
        <v>44</v>
      </c>
      <c r="F1" s="136" t="s">
        <v>68</v>
      </c>
      <c r="G1" s="137" t="s">
        <v>0</v>
      </c>
      <c r="H1" s="137" t="s">
        <v>46</v>
      </c>
      <c r="I1" s="137" t="s">
        <v>55</v>
      </c>
      <c r="J1" s="137" t="s">
        <v>47</v>
      </c>
      <c r="K1" s="137" t="s">
        <v>4</v>
      </c>
      <c r="L1" s="137" t="s">
        <v>5</v>
      </c>
      <c r="M1" s="137" t="s">
        <v>6</v>
      </c>
      <c r="N1" s="137" t="s">
        <v>48</v>
      </c>
      <c r="O1" s="137" t="s">
        <v>49</v>
      </c>
      <c r="P1" s="137" t="s">
        <v>50</v>
      </c>
      <c r="Q1" s="137" t="s">
        <v>51</v>
      </c>
      <c r="R1" s="137" t="s">
        <v>52</v>
      </c>
      <c r="S1" s="137" t="s">
        <v>53</v>
      </c>
      <c r="T1" s="137" t="s">
        <v>9</v>
      </c>
      <c r="U1" s="138" t="s">
        <v>54</v>
      </c>
      <c r="W1" t="s">
        <v>220</v>
      </c>
    </row>
    <row r="2" spans="1:38" ht="12.75">
      <c r="A2" s="110">
        <v>3</v>
      </c>
      <c r="B2" s="113">
        <f>IF($A2&lt;&gt;$A1,VLOOKUP($A2,TeamsData!$A$2:$N$99,12,FALSE),"")</f>
        <v>1</v>
      </c>
      <c r="C2" s="114">
        <f>IF($A2&lt;&gt;$A1,VLOOKUP($A2,TeamsData!$A$2:$N$99,2,FALSE),"")</f>
        <v>5536</v>
      </c>
      <c r="D2" s="114" t="str">
        <f>IF($A2&lt;&gt;$A1,VLOOKUP($A2,TeamsData!$A$2:$N$99,3,FALSE),"")</f>
        <v>Eaglebots</v>
      </c>
      <c r="E2" s="128">
        <v>1</v>
      </c>
      <c r="F2" s="139">
        <v>85</v>
      </c>
      <c r="G2" s="128">
        <f>IF(X2=0,"",X2)</f>
        <v>60</v>
      </c>
      <c r="H2" s="128">
        <f aca="true" t="shared" si="0" ref="H2:U2">IF(Y2=0,"",Y2)</f>
      </c>
      <c r="I2" s="128">
        <f t="shared" si="0"/>
      </c>
      <c r="J2" s="128">
        <f t="shared" si="0"/>
      </c>
      <c r="K2" s="128">
        <f t="shared" si="0"/>
      </c>
      <c r="L2" s="128">
        <f t="shared" si="0"/>
      </c>
      <c r="M2" s="128">
        <f t="shared" si="0"/>
        <v>5</v>
      </c>
      <c r="N2" s="128">
        <f t="shared" si="0"/>
        <v>8</v>
      </c>
      <c r="O2" s="128">
        <f t="shared" si="0"/>
        <v>12</v>
      </c>
      <c r="P2" s="128">
        <f t="shared" si="0"/>
      </c>
      <c r="Q2" s="128">
        <f t="shared" si="0"/>
      </c>
      <c r="R2" s="128">
        <f t="shared" si="0"/>
      </c>
      <c r="S2" s="128">
        <f t="shared" si="0"/>
      </c>
      <c r="T2" s="128">
        <f t="shared" si="0"/>
      </c>
      <c r="U2" s="129">
        <f t="shared" si="0"/>
      </c>
      <c r="V2" s="111" t="s">
        <v>143</v>
      </c>
      <c r="W2" s="51">
        <f>VLOOKUP($A2,TeamsData!$A$2:$N$99,12,FALSE)</f>
        <v>1</v>
      </c>
      <c r="X2">
        <v>60</v>
      </c>
      <c r="Y2">
        <v>0</v>
      </c>
      <c r="Z2">
        <v>0</v>
      </c>
      <c r="AA2">
        <v>0</v>
      </c>
      <c r="AB2">
        <v>0</v>
      </c>
      <c r="AC2">
        <v>0</v>
      </c>
      <c r="AD2">
        <v>5</v>
      </c>
      <c r="AE2">
        <v>8</v>
      </c>
      <c r="AF2">
        <v>12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</row>
    <row r="3" spans="1:38" ht="12.75">
      <c r="A3" s="110">
        <v>3</v>
      </c>
      <c r="B3" s="115">
        <f>IF($A3&lt;&gt;$A2,VLOOKUP($A3,TeamsData!$A$2:$N$99,12,FALSE),"")</f>
      </c>
      <c r="C3" s="51">
        <f>IF($A3&lt;&gt;$A2,VLOOKUP($A3,TeamsData!$A$2:$N$99,2,FALSE),"")</f>
      </c>
      <c r="D3" s="51">
        <f>IF($A3&lt;&gt;$A2,VLOOKUP($A3,TeamsData!$A$2:$N$99,3,FALSE),"")</f>
      </c>
      <c r="E3" s="109">
        <v>2</v>
      </c>
      <c r="F3" s="140">
        <v>185</v>
      </c>
      <c r="G3" s="109">
        <f aca="true" t="shared" si="1" ref="G3:G66">IF(X3=0,"",X3)</f>
        <v>72</v>
      </c>
      <c r="H3" s="109">
        <f aca="true" t="shared" si="2" ref="H3:H66">IF(Y3=0,"",Y3)</f>
        <v>9</v>
      </c>
      <c r="I3" s="109">
        <f aca="true" t="shared" si="3" ref="I3:I66">IF(Z3=0,"",Z3)</f>
        <v>30</v>
      </c>
      <c r="J3" s="109">
        <f aca="true" t="shared" si="4" ref="J3:J66">IF(AA3=0,"",AA3)</f>
      </c>
      <c r="K3" s="109">
        <f aca="true" t="shared" si="5" ref="K3:K66">IF(AB3=0,"",AB3)</f>
        <v>9</v>
      </c>
      <c r="L3" s="109">
        <f aca="true" t="shared" si="6" ref="L3:L66">IF(AC3=0,"",AC3)</f>
        <v>12</v>
      </c>
      <c r="M3" s="109">
        <f aca="true" t="shared" si="7" ref="M3:M66">IF(AD3=0,"",AD3)</f>
        <v>9</v>
      </c>
      <c r="N3" s="109">
        <f aca="true" t="shared" si="8" ref="N3:N66">IF(AE3=0,"",AE3)</f>
        <v>8</v>
      </c>
      <c r="O3" s="109">
        <f aca="true" t="shared" si="9" ref="O3:O66">IF(AF3=0,"",AF3)</f>
      </c>
      <c r="P3" s="109">
        <f aca="true" t="shared" si="10" ref="P3:P66">IF(AG3=0,"",AG3)</f>
      </c>
      <c r="Q3" s="109">
        <f aca="true" t="shared" si="11" ref="Q3:Q66">IF(AH3=0,"",AH3)</f>
      </c>
      <c r="R3" s="109">
        <f aca="true" t="shared" si="12" ref="R3:R66">IF(AI3=0,"",AI3)</f>
      </c>
      <c r="S3" s="109">
        <f aca="true" t="shared" si="13" ref="S3:S66">IF(AJ3=0,"",AJ3)</f>
        <v>14</v>
      </c>
      <c r="T3" s="109">
        <f aca="true" t="shared" si="14" ref="T3:T66">IF(AK3=0,"",AK3)</f>
        <v>22</v>
      </c>
      <c r="U3" s="130">
        <f aca="true" t="shared" si="15" ref="U3:U66">IF(AL3=0,"",AL3)</f>
      </c>
      <c r="V3" s="112" t="s">
        <v>174</v>
      </c>
      <c r="W3" s="51">
        <f>VLOOKUP($A3,TeamsData!$A$2:$N$99,12,FALSE)</f>
        <v>1</v>
      </c>
      <c r="X3">
        <v>72</v>
      </c>
      <c r="Y3">
        <v>9</v>
      </c>
      <c r="Z3">
        <v>30</v>
      </c>
      <c r="AA3">
        <v>0</v>
      </c>
      <c r="AB3">
        <v>9</v>
      </c>
      <c r="AC3">
        <v>12</v>
      </c>
      <c r="AD3">
        <v>9</v>
      </c>
      <c r="AE3">
        <v>8</v>
      </c>
      <c r="AF3">
        <v>0</v>
      </c>
      <c r="AG3">
        <v>0</v>
      </c>
      <c r="AH3">
        <v>0</v>
      </c>
      <c r="AI3">
        <v>0</v>
      </c>
      <c r="AJ3">
        <v>14</v>
      </c>
      <c r="AK3">
        <v>22</v>
      </c>
      <c r="AL3">
        <v>0</v>
      </c>
    </row>
    <row r="4" spans="1:38" ht="13.5" thickBot="1">
      <c r="A4" s="110">
        <v>3</v>
      </c>
      <c r="B4" s="116">
        <f>IF($A4&lt;&gt;$A3,VLOOKUP($A4,TeamsData!$A$2:$N$99,12,FALSE),"")</f>
      </c>
      <c r="C4" s="117">
        <f>IF($A4&lt;&gt;$A3,VLOOKUP($A4,TeamsData!$A$2:$N$99,2,FALSE),"")</f>
      </c>
      <c r="D4" s="117">
        <f>IF($A4&lt;&gt;$A3,VLOOKUP($A4,TeamsData!$A$2:$N$99,3,FALSE),"")</f>
      </c>
      <c r="E4" s="131">
        <v>3</v>
      </c>
      <c r="F4" s="141">
        <v>175</v>
      </c>
      <c r="G4" s="131">
        <f t="shared" si="1"/>
        <v>72</v>
      </c>
      <c r="H4" s="131">
        <f t="shared" si="2"/>
        <v>9</v>
      </c>
      <c r="I4" s="131">
        <f t="shared" si="3"/>
        <v>15</v>
      </c>
      <c r="J4" s="131">
        <f t="shared" si="4"/>
      </c>
      <c r="K4" s="131">
        <f t="shared" si="5"/>
        <v>9</v>
      </c>
      <c r="L4" s="131">
        <f t="shared" si="6"/>
        <v>7</v>
      </c>
      <c r="M4" s="131">
        <f t="shared" si="7"/>
        <v>9</v>
      </c>
      <c r="N4" s="131">
        <f t="shared" si="8"/>
        <v>8</v>
      </c>
      <c r="O4" s="131">
        <f t="shared" si="9"/>
        <v>12</v>
      </c>
      <c r="P4" s="131">
        <f t="shared" si="10"/>
      </c>
      <c r="Q4" s="131">
        <f t="shared" si="11"/>
      </c>
      <c r="R4" s="131">
        <f t="shared" si="12"/>
      </c>
      <c r="S4" s="131">
        <f t="shared" si="13"/>
        <v>14</v>
      </c>
      <c r="T4" s="131">
        <f t="shared" si="14"/>
        <v>20</v>
      </c>
      <c r="U4" s="132">
        <f t="shared" si="15"/>
      </c>
      <c r="V4" s="112" t="s">
        <v>198</v>
      </c>
      <c r="W4" s="51">
        <f>VLOOKUP($A4,TeamsData!$A$2:$N$99,12,FALSE)</f>
        <v>1</v>
      </c>
      <c r="X4">
        <v>72</v>
      </c>
      <c r="Y4">
        <v>9</v>
      </c>
      <c r="Z4">
        <v>15</v>
      </c>
      <c r="AA4">
        <v>0</v>
      </c>
      <c r="AB4">
        <v>9</v>
      </c>
      <c r="AC4">
        <v>7</v>
      </c>
      <c r="AD4">
        <v>9</v>
      </c>
      <c r="AE4">
        <v>8</v>
      </c>
      <c r="AF4">
        <v>12</v>
      </c>
      <c r="AG4">
        <v>0</v>
      </c>
      <c r="AH4">
        <v>0</v>
      </c>
      <c r="AI4">
        <v>0</v>
      </c>
      <c r="AJ4">
        <v>14</v>
      </c>
      <c r="AK4">
        <v>20</v>
      </c>
      <c r="AL4">
        <v>0</v>
      </c>
    </row>
    <row r="5" spans="1:38" ht="12.75">
      <c r="A5" s="110">
        <v>24</v>
      </c>
      <c r="B5" s="113">
        <f>IF($A5&lt;&gt;$A4,VLOOKUP($A5,TeamsData!$A$2:$N$99,12,FALSE),"")</f>
        <v>2</v>
      </c>
      <c r="C5" s="114">
        <f>IF($A5&lt;&gt;$A4,VLOOKUP($A5,TeamsData!$A$2:$N$99,2,FALSE),"")</f>
        <v>8627</v>
      </c>
      <c r="D5" s="114" t="str">
        <f>IF($A5&lt;&gt;$A4,VLOOKUP($A5,TeamsData!$A$2:$N$99,3,FALSE),"")</f>
        <v>The Other Team Again</v>
      </c>
      <c r="E5" s="128">
        <v>1</v>
      </c>
      <c r="F5" s="139">
        <v>154</v>
      </c>
      <c r="G5" s="128">
        <f t="shared" si="1"/>
        <v>66</v>
      </c>
      <c r="H5" s="128">
        <f t="shared" si="2"/>
      </c>
      <c r="I5" s="128">
        <f t="shared" si="3"/>
        <v>30</v>
      </c>
      <c r="J5" s="128">
        <f t="shared" si="4"/>
      </c>
      <c r="K5" s="128">
        <f t="shared" si="5"/>
      </c>
      <c r="L5" s="128">
        <f t="shared" si="6"/>
        <v>21</v>
      </c>
      <c r="M5" s="128">
        <f t="shared" si="7"/>
        <v>5</v>
      </c>
      <c r="N5" s="128">
        <f t="shared" si="8"/>
        <v>8</v>
      </c>
      <c r="O5" s="128">
        <f t="shared" si="9"/>
        <v>12</v>
      </c>
      <c r="P5" s="128">
        <f t="shared" si="10"/>
      </c>
      <c r="Q5" s="128">
        <f t="shared" si="11"/>
      </c>
      <c r="R5" s="128">
        <f t="shared" si="12"/>
      </c>
      <c r="S5" s="128">
        <f t="shared" si="13"/>
      </c>
      <c r="T5" s="128">
        <f t="shared" si="14"/>
        <v>12</v>
      </c>
      <c r="U5" s="129">
        <f t="shared" si="15"/>
      </c>
      <c r="V5" s="112" t="s">
        <v>165</v>
      </c>
      <c r="W5" s="51">
        <f>VLOOKUP($A5,TeamsData!$A$2:$N$99,12,FALSE)</f>
        <v>2</v>
      </c>
      <c r="X5">
        <v>66</v>
      </c>
      <c r="Y5">
        <v>0</v>
      </c>
      <c r="Z5">
        <v>30</v>
      </c>
      <c r="AA5">
        <v>0</v>
      </c>
      <c r="AB5">
        <v>0</v>
      </c>
      <c r="AC5">
        <v>21</v>
      </c>
      <c r="AD5">
        <v>5</v>
      </c>
      <c r="AE5">
        <v>8</v>
      </c>
      <c r="AF5">
        <v>12</v>
      </c>
      <c r="AG5">
        <v>0</v>
      </c>
      <c r="AH5">
        <v>0</v>
      </c>
      <c r="AI5">
        <v>0</v>
      </c>
      <c r="AJ5">
        <v>0</v>
      </c>
      <c r="AK5">
        <v>12</v>
      </c>
      <c r="AL5">
        <v>0</v>
      </c>
    </row>
    <row r="6" spans="1:38" ht="13.5" thickBot="1">
      <c r="A6" s="110">
        <v>24</v>
      </c>
      <c r="B6" s="116">
        <f>IF($A6&lt;&gt;$A5,VLOOKUP($A6,TeamsData!$A$2:$N$99,12,FALSE),"")</f>
      </c>
      <c r="C6" s="117">
        <f>IF($A6&lt;&gt;$A5,VLOOKUP($A6,TeamsData!$A$2:$N$99,2,FALSE),"")</f>
      </c>
      <c r="D6" s="117">
        <f>IF($A6&lt;&gt;$A5,VLOOKUP($A6,TeamsData!$A$2:$N$99,3,FALSE),"")</f>
      </c>
      <c r="E6" s="131">
        <v>2</v>
      </c>
      <c r="F6" s="141">
        <v>147</v>
      </c>
      <c r="G6" s="131">
        <f t="shared" si="1"/>
        <v>66</v>
      </c>
      <c r="H6" s="131">
        <f t="shared" si="2"/>
        <v>9</v>
      </c>
      <c r="I6" s="131">
        <f t="shared" si="3"/>
      </c>
      <c r="J6" s="131">
        <f t="shared" si="4"/>
        <v>7</v>
      </c>
      <c r="K6" s="131">
        <f t="shared" si="5"/>
      </c>
      <c r="L6" s="131">
        <f t="shared" si="6"/>
        <v>21</v>
      </c>
      <c r="M6" s="131">
        <f t="shared" si="7"/>
      </c>
      <c r="N6" s="131">
        <f t="shared" si="8"/>
        <v>4</v>
      </c>
      <c r="O6" s="131">
        <f t="shared" si="9"/>
      </c>
      <c r="P6" s="131">
        <f t="shared" si="10"/>
      </c>
      <c r="Q6" s="131">
        <f t="shared" si="11"/>
      </c>
      <c r="R6" s="131">
        <f t="shared" si="12"/>
        <v>20</v>
      </c>
      <c r="S6" s="131">
        <f t="shared" si="13"/>
      </c>
      <c r="T6" s="131">
        <f t="shared" si="14"/>
        <v>20</v>
      </c>
      <c r="U6" s="132">
        <f t="shared" si="15"/>
      </c>
      <c r="V6" s="112" t="s">
        <v>187</v>
      </c>
      <c r="W6" s="51">
        <f>VLOOKUP($A6,TeamsData!$A$2:$N$99,12,FALSE)</f>
        <v>2</v>
      </c>
      <c r="X6">
        <v>66</v>
      </c>
      <c r="Y6">
        <v>9</v>
      </c>
      <c r="Z6">
        <v>0</v>
      </c>
      <c r="AA6">
        <v>7</v>
      </c>
      <c r="AB6">
        <v>0</v>
      </c>
      <c r="AC6">
        <v>21</v>
      </c>
      <c r="AD6">
        <v>0</v>
      </c>
      <c r="AE6">
        <v>4</v>
      </c>
      <c r="AF6">
        <v>0</v>
      </c>
      <c r="AG6">
        <v>0</v>
      </c>
      <c r="AH6">
        <v>0</v>
      </c>
      <c r="AI6">
        <v>20</v>
      </c>
      <c r="AJ6">
        <v>0</v>
      </c>
      <c r="AK6">
        <v>20</v>
      </c>
      <c r="AL6">
        <v>0</v>
      </c>
    </row>
    <row r="7" spans="1:38" ht="12.75">
      <c r="A7" s="110">
        <v>14</v>
      </c>
      <c r="B7" s="113">
        <f>IF($A7&lt;&gt;$A6,VLOOKUP($A7,TeamsData!$A$2:$N$99,12,FALSE),"")</f>
        <v>3</v>
      </c>
      <c r="C7" s="114">
        <f>IF($A7&lt;&gt;$A6,VLOOKUP($A7,TeamsData!$A$2:$N$99,2,FALSE),"")</f>
        <v>6722</v>
      </c>
      <c r="D7" s="114" t="str">
        <f>IF($A7&lt;&gt;$A6,VLOOKUP($A7,TeamsData!$A$2:$N$99,3,FALSE),"")</f>
        <v>Mysterious Skeleton Squirrels</v>
      </c>
      <c r="E7" s="128">
        <v>1</v>
      </c>
      <c r="F7" s="139">
        <v>97</v>
      </c>
      <c r="G7" s="128">
        <f t="shared" si="1"/>
        <v>72</v>
      </c>
      <c r="H7" s="128">
        <f t="shared" si="2"/>
        <v>9</v>
      </c>
      <c r="I7" s="128">
        <f t="shared" si="3"/>
      </c>
      <c r="J7" s="128">
        <f t="shared" si="4"/>
      </c>
      <c r="K7" s="128">
        <f t="shared" si="5"/>
      </c>
      <c r="L7" s="128">
        <f t="shared" si="6"/>
      </c>
      <c r="M7" s="128">
        <f t="shared" si="7"/>
      </c>
      <c r="N7" s="128">
        <f t="shared" si="8"/>
        <v>4</v>
      </c>
      <c r="O7" s="128">
        <f t="shared" si="9"/>
        <v>12</v>
      </c>
      <c r="P7" s="128">
        <f t="shared" si="10"/>
      </c>
      <c r="Q7" s="128">
        <f t="shared" si="11"/>
      </c>
      <c r="R7" s="128">
        <f t="shared" si="12"/>
      </c>
      <c r="S7" s="128">
        <f t="shared" si="13"/>
      </c>
      <c r="T7" s="128">
        <f t="shared" si="14"/>
      </c>
      <c r="U7" s="129">
        <f t="shared" si="15"/>
      </c>
      <c r="V7" s="111" t="s">
        <v>147</v>
      </c>
      <c r="W7" s="51">
        <f>VLOOKUP($A7,TeamsData!$A$2:$N$99,12,FALSE)</f>
        <v>3</v>
      </c>
      <c r="X7">
        <v>72</v>
      </c>
      <c r="Y7">
        <v>9</v>
      </c>
      <c r="Z7">
        <v>0</v>
      </c>
      <c r="AA7">
        <v>0</v>
      </c>
      <c r="AB7">
        <v>0</v>
      </c>
      <c r="AC7">
        <v>0</v>
      </c>
      <c r="AD7">
        <v>0</v>
      </c>
      <c r="AE7">
        <v>4</v>
      </c>
      <c r="AF7">
        <v>12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</row>
    <row r="8" spans="1:38" ht="12.75">
      <c r="A8" s="110">
        <v>14</v>
      </c>
      <c r="B8" s="115">
        <f>IF($A8&lt;&gt;$A7,VLOOKUP($A8,TeamsData!$A$2:$N$99,12,FALSE),"")</f>
      </c>
      <c r="C8" s="51">
        <f>IF($A8&lt;&gt;$A7,VLOOKUP($A8,TeamsData!$A$2:$N$99,2,FALSE),"")</f>
      </c>
      <c r="D8" s="51">
        <f>IF($A8&lt;&gt;$A7,VLOOKUP($A8,TeamsData!$A$2:$N$99,3,FALSE),"")</f>
      </c>
      <c r="E8" s="109">
        <v>2</v>
      </c>
      <c r="F8" s="140">
        <v>72</v>
      </c>
      <c r="G8" s="109">
        <f t="shared" si="1"/>
        <v>54</v>
      </c>
      <c r="H8" s="109">
        <f t="shared" si="2"/>
      </c>
      <c r="I8" s="109">
        <f t="shared" si="3"/>
      </c>
      <c r="J8" s="109">
        <f t="shared" si="4"/>
      </c>
      <c r="K8" s="109">
        <f t="shared" si="5"/>
      </c>
      <c r="L8" s="109">
        <f t="shared" si="6"/>
        <v>14</v>
      </c>
      <c r="M8" s="109">
        <f t="shared" si="7"/>
      </c>
      <c r="N8" s="109">
        <f t="shared" si="8"/>
        <v>4</v>
      </c>
      <c r="O8" s="109">
        <f t="shared" si="9"/>
      </c>
      <c r="P8" s="109">
        <f t="shared" si="10"/>
      </c>
      <c r="Q8" s="109">
        <f t="shared" si="11"/>
      </c>
      <c r="R8" s="109">
        <f t="shared" si="12"/>
      </c>
      <c r="S8" s="109">
        <f t="shared" si="13"/>
      </c>
      <c r="T8" s="109">
        <f t="shared" si="14"/>
      </c>
      <c r="U8" s="130">
        <f t="shared" si="15"/>
      </c>
      <c r="V8" s="112" t="s">
        <v>172</v>
      </c>
      <c r="W8" s="51">
        <f>VLOOKUP($A8,TeamsData!$A$2:$N$99,12,FALSE)</f>
        <v>3</v>
      </c>
      <c r="X8">
        <v>54</v>
      </c>
      <c r="Y8">
        <v>0</v>
      </c>
      <c r="Z8">
        <v>0</v>
      </c>
      <c r="AA8">
        <v>0</v>
      </c>
      <c r="AB8">
        <v>0</v>
      </c>
      <c r="AC8">
        <v>14</v>
      </c>
      <c r="AD8">
        <v>0</v>
      </c>
      <c r="AE8">
        <v>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</row>
    <row r="9" spans="1:38" ht="12.75">
      <c r="A9" s="110">
        <v>14</v>
      </c>
      <c r="B9" s="115">
        <f>IF($A9&lt;&gt;$A8,VLOOKUP($A9,TeamsData!$A$2:$N$99,12,FALSE),"")</f>
      </c>
      <c r="C9" s="51">
        <f>IF($A9&lt;&gt;$A8,VLOOKUP($A9,TeamsData!$A$2:$N$99,2,FALSE),"")</f>
      </c>
      <c r="D9" s="51">
        <f>IF($A9&lt;&gt;$A8,VLOOKUP($A9,TeamsData!$A$2:$N$99,3,FALSE),"")</f>
      </c>
      <c r="E9" s="109">
        <v>3</v>
      </c>
      <c r="F9" s="140">
        <v>138</v>
      </c>
      <c r="G9" s="109">
        <f t="shared" si="1"/>
        <v>72</v>
      </c>
      <c r="H9" s="109">
        <f t="shared" si="2"/>
      </c>
      <c r="I9" s="109">
        <f t="shared" si="3"/>
      </c>
      <c r="J9" s="109">
        <f t="shared" si="4"/>
      </c>
      <c r="K9" s="109">
        <f t="shared" si="5"/>
      </c>
      <c r="L9" s="109">
        <f t="shared" si="6"/>
        <v>48</v>
      </c>
      <c r="M9" s="109">
        <f t="shared" si="7"/>
        <v>5</v>
      </c>
      <c r="N9" s="109">
        <f t="shared" si="8"/>
        <v>4</v>
      </c>
      <c r="O9" s="109">
        <f t="shared" si="9"/>
      </c>
      <c r="P9" s="109">
        <f t="shared" si="10"/>
      </c>
      <c r="Q9" s="109">
        <f t="shared" si="11"/>
      </c>
      <c r="R9" s="109">
        <f t="shared" si="12"/>
      </c>
      <c r="S9" s="109">
        <f t="shared" si="13"/>
      </c>
      <c r="T9" s="109">
        <f t="shared" si="14"/>
      </c>
      <c r="U9" s="130">
        <f t="shared" si="15"/>
        <v>9</v>
      </c>
      <c r="V9" s="112" t="s">
        <v>194</v>
      </c>
      <c r="W9" s="51">
        <f>VLOOKUP($A9,TeamsData!$A$2:$N$99,12,FALSE)</f>
        <v>3</v>
      </c>
      <c r="X9">
        <v>72</v>
      </c>
      <c r="Y9">
        <v>0</v>
      </c>
      <c r="Z9">
        <v>0</v>
      </c>
      <c r="AA9">
        <v>0</v>
      </c>
      <c r="AB9">
        <v>0</v>
      </c>
      <c r="AC9">
        <v>48</v>
      </c>
      <c r="AD9">
        <v>5</v>
      </c>
      <c r="AE9">
        <v>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9</v>
      </c>
    </row>
    <row r="10" spans="1:38" ht="13.5" thickBot="1">
      <c r="A10" s="110">
        <v>14</v>
      </c>
      <c r="B10" s="116">
        <f>IF($A10&lt;&gt;$A9,VLOOKUP($A10,TeamsData!$A$2:$N$99,12,FALSE),"")</f>
      </c>
      <c r="C10" s="117">
        <f>IF($A10&lt;&gt;$A9,VLOOKUP($A10,TeamsData!$A$2:$N$99,2,FALSE),"")</f>
      </c>
      <c r="D10" s="117">
        <f>IF($A10&lt;&gt;$A9,VLOOKUP($A10,TeamsData!$A$2:$N$99,3,FALSE),"")</f>
      </c>
      <c r="E10" s="131">
        <v>4</v>
      </c>
      <c r="F10" s="141">
        <v>94</v>
      </c>
      <c r="G10" s="131">
        <f t="shared" si="1"/>
        <v>66</v>
      </c>
      <c r="H10" s="131">
        <f t="shared" si="2"/>
      </c>
      <c r="I10" s="131">
        <f t="shared" si="3"/>
      </c>
      <c r="J10" s="131">
        <f t="shared" si="4"/>
      </c>
      <c r="K10" s="131">
        <f t="shared" si="5"/>
      </c>
      <c r="L10" s="131">
        <f t="shared" si="6"/>
        <v>24</v>
      </c>
      <c r="M10" s="131">
        <f t="shared" si="7"/>
      </c>
      <c r="N10" s="131">
        <f t="shared" si="8"/>
        <v>4</v>
      </c>
      <c r="O10" s="131">
        <f t="shared" si="9"/>
      </c>
      <c r="P10" s="131">
        <f t="shared" si="10"/>
      </c>
      <c r="Q10" s="131">
        <f t="shared" si="11"/>
      </c>
      <c r="R10" s="131">
        <f t="shared" si="12"/>
      </c>
      <c r="S10" s="131">
        <f t="shared" si="13"/>
      </c>
      <c r="T10" s="131">
        <f t="shared" si="14"/>
      </c>
      <c r="U10" s="132">
        <f t="shared" si="15"/>
      </c>
      <c r="V10" s="112" t="s">
        <v>214</v>
      </c>
      <c r="W10" s="51">
        <f>VLOOKUP($A10,TeamsData!$A$2:$N$99,12,FALSE)</f>
        <v>3</v>
      </c>
      <c r="X10">
        <v>66</v>
      </c>
      <c r="Y10">
        <v>0</v>
      </c>
      <c r="Z10">
        <v>0</v>
      </c>
      <c r="AA10">
        <v>0</v>
      </c>
      <c r="AB10">
        <v>0</v>
      </c>
      <c r="AC10">
        <v>24</v>
      </c>
      <c r="AD10">
        <v>0</v>
      </c>
      <c r="AE10">
        <v>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</row>
    <row r="11" spans="1:38" ht="12.75">
      <c r="A11" s="110">
        <v>7</v>
      </c>
      <c r="B11" s="113">
        <f>IF($A11&lt;&gt;$A10,VLOOKUP($A11,TeamsData!$A$2:$N$99,12,FALSE),"")</f>
        <v>4</v>
      </c>
      <c r="C11" s="114">
        <f>IF($A11&lt;&gt;$A10,VLOOKUP($A11,TeamsData!$A$2:$N$99,2,FALSE),"")</f>
        <v>7699</v>
      </c>
      <c r="D11" s="114" t="str">
        <f>IF($A11&lt;&gt;$A10,VLOOKUP($A11,TeamsData!$A$2:$N$99,3,FALSE),"")</f>
        <v>JOACK</v>
      </c>
      <c r="E11" s="128">
        <v>1</v>
      </c>
      <c r="F11" s="139">
        <v>82</v>
      </c>
      <c r="G11" s="128">
        <f t="shared" si="1"/>
        <v>72</v>
      </c>
      <c r="H11" s="128">
        <f t="shared" si="2"/>
      </c>
      <c r="I11" s="128">
        <f t="shared" si="3"/>
      </c>
      <c r="J11" s="128">
        <f t="shared" si="4"/>
      </c>
      <c r="K11" s="128">
        <f t="shared" si="5"/>
        <v>6</v>
      </c>
      <c r="L11" s="128">
        <f t="shared" si="6"/>
      </c>
      <c r="M11" s="128">
        <f t="shared" si="7"/>
      </c>
      <c r="N11" s="128">
        <f t="shared" si="8"/>
        <v>4</v>
      </c>
      <c r="O11" s="128">
        <f t="shared" si="9"/>
      </c>
      <c r="P11" s="128">
        <f t="shared" si="10"/>
      </c>
      <c r="Q11" s="128">
        <f t="shared" si="11"/>
      </c>
      <c r="R11" s="128">
        <f t="shared" si="12"/>
      </c>
      <c r="S11" s="128">
        <f t="shared" si="13"/>
      </c>
      <c r="T11" s="128">
        <f t="shared" si="14"/>
      </c>
      <c r="U11" s="129">
        <f t="shared" si="15"/>
      </c>
      <c r="V11" s="112" t="s">
        <v>160</v>
      </c>
      <c r="W11" s="51">
        <f>VLOOKUP($A11,TeamsData!$A$2:$N$99,12,FALSE)</f>
        <v>4</v>
      </c>
      <c r="X11">
        <v>72</v>
      </c>
      <c r="Y11">
        <v>0</v>
      </c>
      <c r="Z11">
        <v>0</v>
      </c>
      <c r="AA11">
        <v>0</v>
      </c>
      <c r="AB11">
        <v>6</v>
      </c>
      <c r="AC11">
        <v>0</v>
      </c>
      <c r="AD11">
        <v>0</v>
      </c>
      <c r="AE11">
        <v>4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</row>
    <row r="12" spans="1:38" ht="12.75">
      <c r="A12" s="110">
        <v>7</v>
      </c>
      <c r="B12" s="115">
        <f>IF($A12&lt;&gt;$A11,VLOOKUP($A12,TeamsData!$A$2:$N$99,12,FALSE),"")</f>
      </c>
      <c r="C12" s="51">
        <f>IF($A12&lt;&gt;$A11,VLOOKUP($A12,TeamsData!$A$2:$N$99,2,FALSE),"")</f>
      </c>
      <c r="D12" s="51">
        <f>IF($A12&lt;&gt;$A11,VLOOKUP($A12,TeamsData!$A$2:$N$99,3,FALSE),"")</f>
      </c>
      <c r="E12" s="109">
        <v>2</v>
      </c>
      <c r="F12" s="140">
        <v>132</v>
      </c>
      <c r="G12" s="109">
        <f t="shared" si="1"/>
        <v>72</v>
      </c>
      <c r="H12" s="109">
        <f t="shared" si="2"/>
        <v>9</v>
      </c>
      <c r="I12" s="109">
        <f t="shared" si="3"/>
      </c>
      <c r="J12" s="109">
        <f t="shared" si="4"/>
      </c>
      <c r="K12" s="109">
        <f t="shared" si="5"/>
        <v>9</v>
      </c>
      <c r="L12" s="109">
        <f t="shared" si="6"/>
        <v>12</v>
      </c>
      <c r="M12" s="109">
        <f t="shared" si="7"/>
      </c>
      <c r="N12" s="109">
        <f t="shared" si="8"/>
        <v>4</v>
      </c>
      <c r="O12" s="109">
        <f t="shared" si="9"/>
        <v>20</v>
      </c>
      <c r="P12" s="109">
        <f t="shared" si="10"/>
      </c>
      <c r="Q12" s="109">
        <f t="shared" si="11"/>
      </c>
      <c r="R12" s="109">
        <f t="shared" si="12"/>
      </c>
      <c r="S12" s="109">
        <f t="shared" si="13"/>
      </c>
      <c r="T12" s="109">
        <f t="shared" si="14"/>
        <v>6</v>
      </c>
      <c r="U12" s="130">
        <f t="shared" si="15"/>
      </c>
      <c r="V12" s="112" t="s">
        <v>173</v>
      </c>
      <c r="W12" s="51">
        <f>VLOOKUP($A12,TeamsData!$A$2:$N$99,12,FALSE)</f>
        <v>4</v>
      </c>
      <c r="X12">
        <v>72</v>
      </c>
      <c r="Y12">
        <v>9</v>
      </c>
      <c r="Z12">
        <v>0</v>
      </c>
      <c r="AA12">
        <v>0</v>
      </c>
      <c r="AB12">
        <v>9</v>
      </c>
      <c r="AC12">
        <v>12</v>
      </c>
      <c r="AD12">
        <v>0</v>
      </c>
      <c r="AE12">
        <v>4</v>
      </c>
      <c r="AF12">
        <v>20</v>
      </c>
      <c r="AG12">
        <v>0</v>
      </c>
      <c r="AH12">
        <v>0</v>
      </c>
      <c r="AI12">
        <v>0</v>
      </c>
      <c r="AJ12">
        <v>0</v>
      </c>
      <c r="AK12">
        <v>6</v>
      </c>
      <c r="AL12">
        <v>0</v>
      </c>
    </row>
    <row r="13" spans="1:38" ht="13.5" thickBot="1">
      <c r="A13" s="110">
        <v>7</v>
      </c>
      <c r="B13" s="116">
        <f>IF($A13&lt;&gt;$A12,VLOOKUP($A13,TeamsData!$A$2:$N$99,12,FALSE),"")</f>
      </c>
      <c r="C13" s="117">
        <f>IF($A13&lt;&gt;$A12,VLOOKUP($A13,TeamsData!$A$2:$N$99,2,FALSE),"")</f>
      </c>
      <c r="D13" s="117">
        <f>IF($A13&lt;&gt;$A12,VLOOKUP($A13,TeamsData!$A$2:$N$99,3,FALSE),"")</f>
      </c>
      <c r="E13" s="131">
        <v>3</v>
      </c>
      <c r="F13" s="141">
        <v>109</v>
      </c>
      <c r="G13" s="131">
        <f t="shared" si="1"/>
        <v>72</v>
      </c>
      <c r="H13" s="131">
        <f t="shared" si="2"/>
      </c>
      <c r="I13" s="131">
        <f t="shared" si="3"/>
      </c>
      <c r="J13" s="131">
        <f t="shared" si="4"/>
      </c>
      <c r="K13" s="131">
        <f t="shared" si="5"/>
        <v>9</v>
      </c>
      <c r="L13" s="131">
        <f t="shared" si="6"/>
        <v>12</v>
      </c>
      <c r="M13" s="131">
        <f t="shared" si="7"/>
      </c>
      <c r="N13" s="131">
        <f t="shared" si="8"/>
      </c>
      <c r="O13" s="131">
        <f t="shared" si="9"/>
      </c>
      <c r="P13" s="131">
        <f t="shared" si="10"/>
      </c>
      <c r="Q13" s="131">
        <f t="shared" si="11"/>
      </c>
      <c r="R13" s="131">
        <f t="shared" si="12"/>
      </c>
      <c r="S13" s="131">
        <f t="shared" si="13"/>
      </c>
      <c r="T13" s="131">
        <f t="shared" si="14"/>
        <v>16</v>
      </c>
      <c r="U13" s="132">
        <f t="shared" si="15"/>
      </c>
      <c r="V13" s="112" t="s">
        <v>202</v>
      </c>
      <c r="W13" s="51">
        <f>VLOOKUP($A13,TeamsData!$A$2:$N$99,12,FALSE)</f>
        <v>4</v>
      </c>
      <c r="X13">
        <v>72</v>
      </c>
      <c r="Y13">
        <v>0</v>
      </c>
      <c r="Z13">
        <v>0</v>
      </c>
      <c r="AA13">
        <v>0</v>
      </c>
      <c r="AB13">
        <v>9</v>
      </c>
      <c r="AC13">
        <v>12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16</v>
      </c>
      <c r="AL13">
        <v>0</v>
      </c>
    </row>
    <row r="14" spans="1:38" ht="12.75">
      <c r="A14" s="110">
        <v>5</v>
      </c>
      <c r="B14" s="113">
        <f>IF($A14&lt;&gt;$A13,VLOOKUP($A14,TeamsData!$A$2:$N$99,12,FALSE),"")</f>
        <v>5</v>
      </c>
      <c r="C14" s="114">
        <f>IF($A14&lt;&gt;$A13,VLOOKUP($A14,TeamsData!$A$2:$N$99,2,FALSE),"")</f>
        <v>2206</v>
      </c>
      <c r="D14" s="114" t="str">
        <f>IF($A14&lt;&gt;$A13,VLOOKUP($A14,TeamsData!$A$2:$N$99,3,FALSE),"")</f>
        <v>Gutbusters</v>
      </c>
      <c r="E14" s="128">
        <v>1</v>
      </c>
      <c r="F14" s="139">
        <v>74</v>
      </c>
      <c r="G14" s="128">
        <f t="shared" si="1"/>
        <v>60</v>
      </c>
      <c r="H14" s="128">
        <f t="shared" si="2"/>
      </c>
      <c r="I14" s="128">
        <f t="shared" si="3"/>
      </c>
      <c r="J14" s="128">
        <f t="shared" si="4"/>
      </c>
      <c r="K14" s="128">
        <f t="shared" si="5"/>
      </c>
      <c r="L14" s="128">
        <f t="shared" si="6"/>
        <v>7</v>
      </c>
      <c r="M14" s="128">
        <f t="shared" si="7"/>
        <v>5</v>
      </c>
      <c r="N14" s="128">
        <f t="shared" si="8"/>
      </c>
      <c r="O14" s="128">
        <f t="shared" si="9"/>
      </c>
      <c r="P14" s="128">
        <f t="shared" si="10"/>
      </c>
      <c r="Q14" s="128">
        <f t="shared" si="11"/>
      </c>
      <c r="R14" s="128">
        <f t="shared" si="12"/>
      </c>
      <c r="S14" s="128">
        <f t="shared" si="13"/>
      </c>
      <c r="T14" s="128">
        <f t="shared" si="14"/>
        <v>2</v>
      </c>
      <c r="U14" s="129">
        <f t="shared" si="15"/>
      </c>
      <c r="V14" s="111" t="s">
        <v>149</v>
      </c>
      <c r="W14" s="51">
        <f>VLOOKUP($A14,TeamsData!$A$2:$N$99,12,FALSE)</f>
        <v>5</v>
      </c>
      <c r="X14">
        <v>60</v>
      </c>
      <c r="Y14">
        <v>0</v>
      </c>
      <c r="Z14">
        <v>0</v>
      </c>
      <c r="AA14">
        <v>0</v>
      </c>
      <c r="AB14">
        <v>0</v>
      </c>
      <c r="AC14">
        <v>7</v>
      </c>
      <c r="AD14">
        <v>5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2</v>
      </c>
      <c r="AL14">
        <v>0</v>
      </c>
    </row>
    <row r="15" spans="1:38" ht="12.75">
      <c r="A15" s="110">
        <v>5</v>
      </c>
      <c r="B15" s="115">
        <f>IF($A15&lt;&gt;$A14,VLOOKUP($A15,TeamsData!$A$2:$N$99,12,FALSE),"")</f>
      </c>
      <c r="C15" s="51">
        <f>IF($A15&lt;&gt;$A14,VLOOKUP($A15,TeamsData!$A$2:$N$99,2,FALSE),"")</f>
      </c>
      <c r="D15" s="51">
        <f>IF($A15&lt;&gt;$A14,VLOOKUP($A15,TeamsData!$A$2:$N$99,3,FALSE),"")</f>
      </c>
      <c r="E15" s="109">
        <v>2</v>
      </c>
      <c r="F15" s="140">
        <v>87</v>
      </c>
      <c r="G15" s="109">
        <f t="shared" si="1"/>
        <v>66</v>
      </c>
      <c r="H15" s="109">
        <f t="shared" si="2"/>
      </c>
      <c r="I15" s="109">
        <f t="shared" si="3"/>
      </c>
      <c r="J15" s="109">
        <f t="shared" si="4"/>
      </c>
      <c r="K15" s="109">
        <f t="shared" si="5"/>
      </c>
      <c r="L15" s="109">
        <f t="shared" si="6"/>
        <v>7</v>
      </c>
      <c r="M15" s="109">
        <f t="shared" si="7"/>
      </c>
      <c r="N15" s="109">
        <f t="shared" si="8"/>
        <v>4</v>
      </c>
      <c r="O15" s="109">
        <f t="shared" si="9"/>
      </c>
      <c r="P15" s="109">
        <f t="shared" si="10"/>
      </c>
      <c r="Q15" s="109">
        <f t="shared" si="11"/>
      </c>
      <c r="R15" s="109">
        <f t="shared" si="12"/>
      </c>
      <c r="S15" s="109">
        <f t="shared" si="13"/>
      </c>
      <c r="T15" s="109">
        <f t="shared" si="14"/>
        <v>10</v>
      </c>
      <c r="U15" s="130">
        <f t="shared" si="15"/>
      </c>
      <c r="V15" s="118" t="s">
        <v>168</v>
      </c>
      <c r="W15" s="51">
        <f>VLOOKUP($A15,TeamsData!$A$2:$N$99,12,FALSE)</f>
        <v>5</v>
      </c>
      <c r="X15">
        <v>66</v>
      </c>
      <c r="Y15">
        <v>0</v>
      </c>
      <c r="Z15">
        <v>0</v>
      </c>
      <c r="AA15">
        <v>0</v>
      </c>
      <c r="AB15">
        <v>0</v>
      </c>
      <c r="AC15">
        <v>7</v>
      </c>
      <c r="AD15">
        <v>0</v>
      </c>
      <c r="AE15">
        <v>4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10</v>
      </c>
      <c r="AL15">
        <v>0</v>
      </c>
    </row>
    <row r="16" spans="1:38" ht="12.75">
      <c r="A16" s="110">
        <v>5</v>
      </c>
      <c r="B16" s="115">
        <f>IF($A16&lt;&gt;$A15,VLOOKUP($A16,TeamsData!$A$2:$N$99,12,FALSE),"")</f>
      </c>
      <c r="C16" s="51">
        <f>IF($A16&lt;&gt;$A15,VLOOKUP($A16,TeamsData!$A$2:$N$99,2,FALSE),"")</f>
      </c>
      <c r="D16" s="51">
        <f>IF($A16&lt;&gt;$A15,VLOOKUP($A16,TeamsData!$A$2:$N$99,3,FALSE),"")</f>
      </c>
      <c r="E16" s="109">
        <v>3</v>
      </c>
      <c r="F16" s="140">
        <v>126</v>
      </c>
      <c r="G16" s="109">
        <f t="shared" si="1"/>
        <v>72</v>
      </c>
      <c r="H16" s="109">
        <f t="shared" si="2"/>
        <v>9</v>
      </c>
      <c r="I16" s="109">
        <f t="shared" si="3"/>
      </c>
      <c r="J16" s="109">
        <f t="shared" si="4"/>
      </c>
      <c r="K16" s="109">
        <f t="shared" si="5"/>
      </c>
      <c r="L16" s="109">
        <f t="shared" si="6"/>
        <v>12</v>
      </c>
      <c r="M16" s="109">
        <f t="shared" si="7"/>
        <v>5</v>
      </c>
      <c r="N16" s="109">
        <f t="shared" si="8"/>
        <v>8</v>
      </c>
      <c r="O16" s="109">
        <f t="shared" si="9"/>
        <v>20</v>
      </c>
      <c r="P16" s="109">
        <f t="shared" si="10"/>
      </c>
      <c r="Q16" s="109">
        <f t="shared" si="11"/>
      </c>
      <c r="R16" s="109">
        <f t="shared" si="12"/>
      </c>
      <c r="S16" s="109">
        <f t="shared" si="13"/>
      </c>
      <c r="T16" s="109">
        <f t="shared" si="14"/>
      </c>
      <c r="U16" s="130">
        <f t="shared" si="15"/>
      </c>
      <c r="V16" s="118" t="s">
        <v>191</v>
      </c>
      <c r="W16" s="51">
        <f>VLOOKUP($A16,TeamsData!$A$2:$N$99,12,FALSE)</f>
        <v>5</v>
      </c>
      <c r="X16">
        <v>72</v>
      </c>
      <c r="Y16">
        <v>9</v>
      </c>
      <c r="Z16">
        <v>0</v>
      </c>
      <c r="AA16">
        <v>0</v>
      </c>
      <c r="AB16">
        <v>0</v>
      </c>
      <c r="AC16">
        <v>12</v>
      </c>
      <c r="AD16">
        <v>5</v>
      </c>
      <c r="AE16">
        <v>8</v>
      </c>
      <c r="AF16">
        <v>20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</row>
    <row r="17" spans="1:38" ht="13.5" thickBot="1">
      <c r="A17" s="110">
        <v>5</v>
      </c>
      <c r="B17" s="116">
        <f>IF($A17&lt;&gt;$A16,VLOOKUP($A17,TeamsData!$A$2:$N$99,12,FALSE),"")</f>
      </c>
      <c r="C17" s="117">
        <f>IF($A17&lt;&gt;$A16,VLOOKUP($A17,TeamsData!$A$2:$N$99,2,FALSE),"")</f>
      </c>
      <c r="D17" s="117">
        <f>IF($A17&lt;&gt;$A16,VLOOKUP($A17,TeamsData!$A$2:$N$99,3,FALSE),"")</f>
      </c>
      <c r="E17" s="131">
        <v>4</v>
      </c>
      <c r="F17" s="141">
        <v>128</v>
      </c>
      <c r="G17" s="131">
        <f t="shared" si="1"/>
        <v>72</v>
      </c>
      <c r="H17" s="131">
        <f t="shared" si="2"/>
      </c>
      <c r="I17" s="131">
        <f t="shared" si="3"/>
      </c>
      <c r="J17" s="131">
        <f t="shared" si="4"/>
      </c>
      <c r="K17" s="131">
        <f t="shared" si="5"/>
      </c>
      <c r="L17" s="131">
        <f t="shared" si="6"/>
        <v>7</v>
      </c>
      <c r="M17" s="131">
        <f t="shared" si="7"/>
        <v>5</v>
      </c>
      <c r="N17" s="131">
        <f t="shared" si="8"/>
        <v>8</v>
      </c>
      <c r="O17" s="131">
        <f t="shared" si="9"/>
        <v>20</v>
      </c>
      <c r="P17" s="131">
        <f t="shared" si="10"/>
      </c>
      <c r="Q17" s="131">
        <f t="shared" si="11"/>
      </c>
      <c r="R17" s="131">
        <f t="shared" si="12"/>
      </c>
      <c r="S17" s="131">
        <f t="shared" si="13"/>
      </c>
      <c r="T17" s="131">
        <f t="shared" si="14"/>
        <v>16</v>
      </c>
      <c r="U17" s="132">
        <f t="shared" si="15"/>
      </c>
      <c r="V17" s="118" t="s">
        <v>217</v>
      </c>
      <c r="W17" s="51">
        <f>VLOOKUP($A17,TeamsData!$A$2:$N$99,12,FALSE)</f>
        <v>5</v>
      </c>
      <c r="X17">
        <v>72</v>
      </c>
      <c r="Y17">
        <v>0</v>
      </c>
      <c r="Z17">
        <v>0</v>
      </c>
      <c r="AA17">
        <v>0</v>
      </c>
      <c r="AB17">
        <v>0</v>
      </c>
      <c r="AC17">
        <v>7</v>
      </c>
      <c r="AD17">
        <v>5</v>
      </c>
      <c r="AE17">
        <v>8</v>
      </c>
      <c r="AF17">
        <v>20</v>
      </c>
      <c r="AG17">
        <v>0</v>
      </c>
      <c r="AH17">
        <v>0</v>
      </c>
      <c r="AI17">
        <v>0</v>
      </c>
      <c r="AJ17">
        <v>0</v>
      </c>
      <c r="AK17">
        <v>16</v>
      </c>
      <c r="AL17">
        <v>0</v>
      </c>
    </row>
    <row r="18" spans="1:38" ht="12.75">
      <c r="A18" s="110">
        <v>10</v>
      </c>
      <c r="B18" s="113">
        <f>IF($A18&lt;&gt;$A17,VLOOKUP($A18,TeamsData!$A$2:$N$99,12,FALSE),"")</f>
        <v>6</v>
      </c>
      <c r="C18" s="114">
        <f>IF($A18&lt;&gt;$A17,VLOOKUP($A18,TeamsData!$A$2:$N$99,2,FALSE),"")</f>
        <v>6134</v>
      </c>
      <c r="D18" s="114" t="str">
        <f>IF($A18&lt;&gt;$A17,VLOOKUP($A18,TeamsData!$A$2:$N$99,3,FALSE),"")</f>
        <v>Lightning Bots</v>
      </c>
      <c r="E18" s="128">
        <v>1</v>
      </c>
      <c r="F18" s="139">
        <v>124</v>
      </c>
      <c r="G18" s="128">
        <f t="shared" si="1"/>
        <v>72</v>
      </c>
      <c r="H18" s="128">
        <f t="shared" si="2"/>
        <v>9</v>
      </c>
      <c r="I18" s="128">
        <f t="shared" si="3"/>
        <v>15</v>
      </c>
      <c r="J18" s="128">
        <f t="shared" si="4"/>
        <v>7</v>
      </c>
      <c r="K18" s="128">
        <f t="shared" si="5"/>
      </c>
      <c r="L18" s="128">
        <f t="shared" si="6"/>
        <v>7</v>
      </c>
      <c r="M18" s="128">
        <f t="shared" si="7"/>
      </c>
      <c r="N18" s="128">
        <f t="shared" si="8"/>
      </c>
      <c r="O18" s="128">
        <f t="shared" si="9"/>
      </c>
      <c r="P18" s="128">
        <f t="shared" si="10"/>
      </c>
      <c r="Q18" s="128">
        <f t="shared" si="11"/>
      </c>
      <c r="R18" s="128">
        <f t="shared" si="12"/>
      </c>
      <c r="S18" s="128">
        <f t="shared" si="13"/>
      </c>
      <c r="T18" s="128">
        <f t="shared" si="14"/>
        <v>14</v>
      </c>
      <c r="U18" s="129">
        <f t="shared" si="15"/>
      </c>
      <c r="V18" s="119" t="s">
        <v>144</v>
      </c>
      <c r="W18" s="51">
        <f>VLOOKUP($A18,TeamsData!$A$2:$N$99,12,FALSE)</f>
        <v>6</v>
      </c>
      <c r="X18">
        <v>72</v>
      </c>
      <c r="Y18">
        <v>9</v>
      </c>
      <c r="Z18">
        <v>15</v>
      </c>
      <c r="AA18">
        <v>7</v>
      </c>
      <c r="AB18">
        <v>0</v>
      </c>
      <c r="AC18">
        <v>7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14</v>
      </c>
      <c r="AL18">
        <v>0</v>
      </c>
    </row>
    <row r="19" spans="1:38" ht="12.75">
      <c r="A19" s="110">
        <v>10</v>
      </c>
      <c r="B19" s="115">
        <f>IF($A19&lt;&gt;$A18,VLOOKUP($A19,TeamsData!$A$2:$N$99,12,FALSE),"")</f>
      </c>
      <c r="C19" s="51">
        <f>IF($A19&lt;&gt;$A18,VLOOKUP($A19,TeamsData!$A$2:$N$99,2,FALSE),"")</f>
      </c>
      <c r="D19" s="51">
        <f>IF($A19&lt;&gt;$A18,VLOOKUP($A19,TeamsData!$A$2:$N$99,3,FALSE),"")</f>
      </c>
      <c r="E19" s="109">
        <v>2</v>
      </c>
      <c r="F19" s="140">
        <v>114</v>
      </c>
      <c r="G19" s="109">
        <f t="shared" si="1"/>
        <v>66</v>
      </c>
      <c r="H19" s="109">
        <f t="shared" si="2"/>
        <v>9</v>
      </c>
      <c r="I19" s="109">
        <f t="shared" si="3"/>
      </c>
      <c r="J19" s="109">
        <f t="shared" si="4"/>
        <v>7</v>
      </c>
      <c r="K19" s="109">
        <f t="shared" si="5"/>
      </c>
      <c r="L19" s="109">
        <f t="shared" si="6"/>
        <v>24</v>
      </c>
      <c r="M19" s="109">
        <f t="shared" si="7"/>
      </c>
      <c r="N19" s="109">
        <f t="shared" si="8"/>
      </c>
      <c r="O19" s="109">
        <f t="shared" si="9"/>
      </c>
      <c r="P19" s="109">
        <f t="shared" si="10"/>
      </c>
      <c r="Q19" s="109">
        <f t="shared" si="11"/>
      </c>
      <c r="R19" s="109">
        <f t="shared" si="12"/>
      </c>
      <c r="S19" s="109">
        <f t="shared" si="13"/>
      </c>
      <c r="T19" s="109">
        <f t="shared" si="14"/>
        <v>8</v>
      </c>
      <c r="U19" s="130">
        <f t="shared" si="15"/>
      </c>
      <c r="V19" s="118" t="s">
        <v>170</v>
      </c>
      <c r="W19" s="51">
        <f>VLOOKUP($A19,TeamsData!$A$2:$N$99,12,FALSE)</f>
        <v>6</v>
      </c>
      <c r="X19">
        <v>66</v>
      </c>
      <c r="Y19">
        <v>9</v>
      </c>
      <c r="Z19">
        <v>0</v>
      </c>
      <c r="AA19">
        <v>7</v>
      </c>
      <c r="AB19">
        <v>0</v>
      </c>
      <c r="AC19">
        <v>24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8</v>
      </c>
      <c r="AL19">
        <v>0</v>
      </c>
    </row>
    <row r="20" spans="1:38" ht="12.75">
      <c r="A20" s="110">
        <v>10</v>
      </c>
      <c r="B20" s="115">
        <f>IF($A20&lt;&gt;$A19,VLOOKUP($A20,TeamsData!$A$2:$N$99,12,FALSE),"")</f>
      </c>
      <c r="C20" s="51">
        <f>IF($A20&lt;&gt;$A19,VLOOKUP($A20,TeamsData!$A$2:$N$99,2,FALSE),"")</f>
      </c>
      <c r="D20" s="51">
        <f>IF($A20&lt;&gt;$A19,VLOOKUP($A20,TeamsData!$A$2:$N$99,3,FALSE),"")</f>
      </c>
      <c r="E20" s="109">
        <v>3</v>
      </c>
      <c r="F20" s="140">
        <v>120</v>
      </c>
      <c r="G20" s="109">
        <f t="shared" si="1"/>
        <v>66</v>
      </c>
      <c r="H20" s="109">
        <f t="shared" si="2"/>
        <v>9</v>
      </c>
      <c r="I20" s="109">
        <f t="shared" si="3"/>
        <v>15</v>
      </c>
      <c r="J20" s="109">
        <f t="shared" si="4"/>
      </c>
      <c r="K20" s="109">
        <f t="shared" si="5"/>
        <v>9</v>
      </c>
      <c r="L20" s="109">
        <f t="shared" si="6"/>
        <v>7</v>
      </c>
      <c r="M20" s="109">
        <f t="shared" si="7"/>
      </c>
      <c r="N20" s="109">
        <f t="shared" si="8"/>
      </c>
      <c r="O20" s="109">
        <f t="shared" si="9"/>
      </c>
      <c r="P20" s="109">
        <f t="shared" si="10"/>
      </c>
      <c r="Q20" s="109">
        <f t="shared" si="11"/>
      </c>
      <c r="R20" s="109">
        <f t="shared" si="12"/>
      </c>
      <c r="S20" s="109">
        <f t="shared" si="13"/>
      </c>
      <c r="T20" s="109">
        <f t="shared" si="14"/>
        <v>14</v>
      </c>
      <c r="U20" s="130">
        <f t="shared" si="15"/>
      </c>
      <c r="V20" s="118" t="s">
        <v>193</v>
      </c>
      <c r="W20" s="51">
        <f>VLOOKUP($A20,TeamsData!$A$2:$N$99,12,FALSE)</f>
        <v>6</v>
      </c>
      <c r="X20">
        <v>66</v>
      </c>
      <c r="Y20">
        <v>9</v>
      </c>
      <c r="Z20">
        <v>15</v>
      </c>
      <c r="AA20">
        <v>0</v>
      </c>
      <c r="AB20">
        <v>9</v>
      </c>
      <c r="AC20">
        <v>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14</v>
      </c>
      <c r="AL20">
        <v>0</v>
      </c>
    </row>
    <row r="21" spans="1:38" ht="13.5" thickBot="1">
      <c r="A21" s="110">
        <v>10</v>
      </c>
      <c r="B21" s="116">
        <f>IF($A21&lt;&gt;$A20,VLOOKUP($A21,TeamsData!$A$2:$N$99,12,FALSE),"")</f>
      </c>
      <c r="C21" s="117">
        <f>IF($A21&lt;&gt;$A20,VLOOKUP($A21,TeamsData!$A$2:$N$99,2,FALSE),"")</f>
      </c>
      <c r="D21" s="117">
        <f>IF($A21&lt;&gt;$A20,VLOOKUP($A21,TeamsData!$A$2:$N$99,3,FALSE),"")</f>
      </c>
      <c r="E21" s="131">
        <v>4</v>
      </c>
      <c r="F21" s="141">
        <v>111</v>
      </c>
      <c r="G21" s="131">
        <f t="shared" si="1"/>
        <v>72</v>
      </c>
      <c r="H21" s="131">
        <f t="shared" si="2"/>
        <v>9</v>
      </c>
      <c r="I21" s="131">
        <f t="shared" si="3"/>
      </c>
      <c r="J21" s="131">
        <f t="shared" si="4"/>
      </c>
      <c r="K21" s="131">
        <f t="shared" si="5"/>
        <v>9</v>
      </c>
      <c r="L21" s="131">
        <f t="shared" si="6"/>
        <v>7</v>
      </c>
      <c r="M21" s="131">
        <f t="shared" si="7"/>
      </c>
      <c r="N21" s="131">
        <f t="shared" si="8"/>
      </c>
      <c r="O21" s="131">
        <f t="shared" si="9"/>
      </c>
      <c r="P21" s="131">
        <f t="shared" si="10"/>
      </c>
      <c r="Q21" s="131">
        <f t="shared" si="11"/>
      </c>
      <c r="R21" s="131">
        <f t="shared" si="12"/>
      </c>
      <c r="S21" s="131">
        <f t="shared" si="13"/>
      </c>
      <c r="T21" s="131">
        <f t="shared" si="14"/>
        <v>14</v>
      </c>
      <c r="U21" s="132">
        <f t="shared" si="15"/>
      </c>
      <c r="V21" s="118" t="s">
        <v>213</v>
      </c>
      <c r="W21" s="51">
        <f>VLOOKUP($A21,TeamsData!$A$2:$N$99,12,FALSE)</f>
        <v>6</v>
      </c>
      <c r="X21">
        <v>72</v>
      </c>
      <c r="Y21">
        <v>9</v>
      </c>
      <c r="Z21">
        <v>0</v>
      </c>
      <c r="AA21">
        <v>0</v>
      </c>
      <c r="AB21">
        <v>9</v>
      </c>
      <c r="AC21">
        <v>7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14</v>
      </c>
      <c r="AL21">
        <v>0</v>
      </c>
    </row>
    <row r="22" spans="1:38" ht="12.75">
      <c r="A22" s="110">
        <v>17</v>
      </c>
      <c r="B22" s="113">
        <f>IF($A22&lt;&gt;$A21,VLOOKUP($A22,TeamsData!$A$2:$N$99,12,FALSE),"")</f>
        <v>7</v>
      </c>
      <c r="C22" s="114">
        <f>IF($A22&lt;&gt;$A21,VLOOKUP($A22,TeamsData!$A$2:$N$99,2,FALSE),"")</f>
        <v>5820</v>
      </c>
      <c r="D22" s="114" t="str">
        <f>IF($A22&lt;&gt;$A21,VLOOKUP($A22,TeamsData!$A$2:$N$99,3,FALSE),"")</f>
        <v>Peaceful Programmers</v>
      </c>
      <c r="E22" s="128">
        <v>1</v>
      </c>
      <c r="F22" s="139">
        <v>107</v>
      </c>
      <c r="G22" s="128">
        <f t="shared" si="1"/>
        <v>66</v>
      </c>
      <c r="H22" s="128">
        <f t="shared" si="2"/>
      </c>
      <c r="I22" s="128">
        <f t="shared" si="3"/>
      </c>
      <c r="J22" s="128">
        <f t="shared" si="4"/>
      </c>
      <c r="K22" s="128">
        <f t="shared" si="5"/>
        <v>9</v>
      </c>
      <c r="L22" s="128">
        <f t="shared" si="6"/>
        <v>14</v>
      </c>
      <c r="M22" s="128">
        <f t="shared" si="7"/>
        <v>5</v>
      </c>
      <c r="N22" s="128">
        <f t="shared" si="8"/>
        <v>4</v>
      </c>
      <c r="O22" s="128">
        <f t="shared" si="9"/>
      </c>
      <c r="P22" s="128">
        <f t="shared" si="10"/>
      </c>
      <c r="Q22" s="128">
        <f t="shared" si="11"/>
      </c>
      <c r="R22" s="128">
        <f t="shared" si="12"/>
      </c>
      <c r="S22" s="128">
        <f t="shared" si="13"/>
      </c>
      <c r="T22" s="128">
        <f t="shared" si="14"/>
      </c>
      <c r="U22" s="129">
        <f t="shared" si="15"/>
        <v>9</v>
      </c>
      <c r="V22" s="119" t="s">
        <v>148</v>
      </c>
      <c r="W22" s="51">
        <f>VLOOKUP($A22,TeamsData!$A$2:$N$99,12,FALSE)</f>
        <v>7</v>
      </c>
      <c r="X22">
        <v>66</v>
      </c>
      <c r="Y22">
        <v>0</v>
      </c>
      <c r="Z22">
        <v>0</v>
      </c>
      <c r="AA22">
        <v>0</v>
      </c>
      <c r="AB22">
        <v>9</v>
      </c>
      <c r="AC22">
        <v>14</v>
      </c>
      <c r="AD22">
        <v>5</v>
      </c>
      <c r="AE22">
        <v>4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9</v>
      </c>
    </row>
    <row r="23" spans="1:38" ht="12.75">
      <c r="A23" s="110">
        <v>17</v>
      </c>
      <c r="B23" s="115">
        <f>IF($A23&lt;&gt;$A22,VLOOKUP($A23,TeamsData!$A$2:$N$99,12,FALSE),"")</f>
      </c>
      <c r="C23" s="51">
        <f>IF($A23&lt;&gt;$A22,VLOOKUP($A23,TeamsData!$A$2:$N$99,2,FALSE),"")</f>
      </c>
      <c r="D23" s="51">
        <f>IF($A23&lt;&gt;$A22,VLOOKUP($A23,TeamsData!$A$2:$N$99,3,FALSE),"")</f>
      </c>
      <c r="E23" s="109">
        <v>2</v>
      </c>
      <c r="F23" s="140">
        <v>124</v>
      </c>
      <c r="G23" s="109">
        <f t="shared" si="1"/>
        <v>60</v>
      </c>
      <c r="H23" s="109">
        <f t="shared" si="2"/>
      </c>
      <c r="I23" s="109">
        <f t="shared" si="3"/>
      </c>
      <c r="J23" s="109">
        <f t="shared" si="4"/>
        <v>14</v>
      </c>
      <c r="K23" s="109">
        <f t="shared" si="5"/>
      </c>
      <c r="L23" s="109">
        <f t="shared" si="6"/>
        <v>28</v>
      </c>
      <c r="M23" s="109">
        <f t="shared" si="7"/>
        <v>5</v>
      </c>
      <c r="N23" s="109">
        <f t="shared" si="8"/>
        <v>8</v>
      </c>
      <c r="O23" s="109">
        <f t="shared" si="9"/>
      </c>
      <c r="P23" s="109">
        <f t="shared" si="10"/>
      </c>
      <c r="Q23" s="109">
        <f t="shared" si="11"/>
      </c>
      <c r="R23" s="109">
        <f t="shared" si="12"/>
      </c>
      <c r="S23" s="109">
        <f t="shared" si="13"/>
      </c>
      <c r="T23" s="109">
        <f t="shared" si="14"/>
      </c>
      <c r="U23" s="130">
        <f t="shared" si="15"/>
        <v>9</v>
      </c>
      <c r="V23" s="118" t="s">
        <v>171</v>
      </c>
      <c r="W23" s="51">
        <f>VLOOKUP($A23,TeamsData!$A$2:$N$99,12,FALSE)</f>
        <v>7</v>
      </c>
      <c r="X23">
        <v>60</v>
      </c>
      <c r="Y23">
        <v>0</v>
      </c>
      <c r="Z23">
        <v>0</v>
      </c>
      <c r="AA23">
        <v>14</v>
      </c>
      <c r="AB23">
        <v>0</v>
      </c>
      <c r="AC23">
        <v>28</v>
      </c>
      <c r="AD23">
        <v>5</v>
      </c>
      <c r="AE23">
        <v>8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9</v>
      </c>
    </row>
    <row r="24" spans="1:38" ht="13.5" thickBot="1">
      <c r="A24" s="110">
        <v>17</v>
      </c>
      <c r="B24" s="116">
        <f>IF($A24&lt;&gt;$A23,VLOOKUP($A24,TeamsData!$A$2:$N$99,12,FALSE),"")</f>
      </c>
      <c r="C24" s="117">
        <f>IF($A24&lt;&gt;$A23,VLOOKUP($A24,TeamsData!$A$2:$N$99,2,FALSE),"")</f>
      </c>
      <c r="D24" s="117">
        <f>IF($A24&lt;&gt;$A23,VLOOKUP($A24,TeamsData!$A$2:$N$99,3,FALSE),"")</f>
      </c>
      <c r="E24" s="131">
        <v>3</v>
      </c>
      <c r="F24" s="141">
        <v>95</v>
      </c>
      <c r="G24" s="131">
        <f t="shared" si="1"/>
        <v>66</v>
      </c>
      <c r="H24" s="131">
        <f t="shared" si="2"/>
      </c>
      <c r="I24" s="131">
        <f t="shared" si="3"/>
      </c>
      <c r="J24" s="131">
        <f t="shared" si="4"/>
      </c>
      <c r="K24" s="131">
        <f t="shared" si="5"/>
        <v>9</v>
      </c>
      <c r="L24" s="131">
        <f t="shared" si="6"/>
        <v>7</v>
      </c>
      <c r="M24" s="131">
        <f t="shared" si="7"/>
        <v>5</v>
      </c>
      <c r="N24" s="131">
        <f t="shared" si="8"/>
        <v>8</v>
      </c>
      <c r="O24" s="131">
        <f t="shared" si="9"/>
      </c>
      <c r="P24" s="131">
        <f t="shared" si="10"/>
      </c>
      <c r="Q24" s="131">
        <f t="shared" si="11"/>
      </c>
      <c r="R24" s="131">
        <f t="shared" si="12"/>
      </c>
      <c r="S24" s="131">
        <f t="shared" si="13"/>
      </c>
      <c r="T24" s="131">
        <f t="shared" si="14"/>
      </c>
      <c r="U24" s="132">
        <f t="shared" si="15"/>
      </c>
      <c r="V24" s="118" t="s">
        <v>211</v>
      </c>
      <c r="W24" s="51">
        <f>VLOOKUP($A24,TeamsData!$A$2:$N$99,12,FALSE)</f>
        <v>7</v>
      </c>
      <c r="X24">
        <v>66</v>
      </c>
      <c r="Y24">
        <v>0</v>
      </c>
      <c r="Z24">
        <v>0</v>
      </c>
      <c r="AA24">
        <v>0</v>
      </c>
      <c r="AB24">
        <v>9</v>
      </c>
      <c r="AC24">
        <v>7</v>
      </c>
      <c r="AD24">
        <v>5</v>
      </c>
      <c r="AE24">
        <v>8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</row>
    <row r="25" spans="1:38" ht="12.75">
      <c r="A25" s="110">
        <v>2</v>
      </c>
      <c r="B25" s="113">
        <f>IF($A25&lt;&gt;$A24,VLOOKUP($A25,TeamsData!$A$2:$N$99,12,FALSE),"")</f>
        <v>8</v>
      </c>
      <c r="C25" s="114">
        <f>IF($A25&lt;&gt;$A24,VLOOKUP($A25,TeamsData!$A$2:$N$99,2,FALSE),"")</f>
        <v>6222</v>
      </c>
      <c r="D25" s="114" t="str">
        <f>IF($A25&lt;&gt;$A24,VLOOKUP($A25,TeamsData!$A$2:$N$99,3,FALSE),"")</f>
        <v>Adroits</v>
      </c>
      <c r="E25" s="128">
        <v>1</v>
      </c>
      <c r="F25" s="139">
        <v>70</v>
      </c>
      <c r="G25" s="128">
        <f t="shared" si="1"/>
        <v>66</v>
      </c>
      <c r="H25" s="128">
        <f t="shared" si="2"/>
      </c>
      <c r="I25" s="128">
        <f t="shared" si="3"/>
      </c>
      <c r="J25" s="128">
        <f t="shared" si="4"/>
      </c>
      <c r="K25" s="128">
        <f t="shared" si="5"/>
      </c>
      <c r="L25" s="128">
        <f t="shared" si="6"/>
      </c>
      <c r="M25" s="128">
        <f t="shared" si="7"/>
      </c>
      <c r="N25" s="128">
        <f t="shared" si="8"/>
        <v>4</v>
      </c>
      <c r="O25" s="128">
        <f t="shared" si="9"/>
      </c>
      <c r="P25" s="128">
        <f t="shared" si="10"/>
      </c>
      <c r="Q25" s="128">
        <f t="shared" si="11"/>
      </c>
      <c r="R25" s="128">
        <f t="shared" si="12"/>
      </c>
      <c r="S25" s="128">
        <f t="shared" si="13"/>
      </c>
      <c r="T25" s="128">
        <f t="shared" si="14"/>
      </c>
      <c r="U25" s="129">
        <f t="shared" si="15"/>
      </c>
      <c r="V25" s="118" t="s">
        <v>157</v>
      </c>
      <c r="W25" s="51">
        <f>VLOOKUP($A25,TeamsData!$A$2:$N$99,12,FALSE)</f>
        <v>8</v>
      </c>
      <c r="X25">
        <v>66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4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</row>
    <row r="26" spans="1:38" ht="12.75">
      <c r="A26" s="110">
        <v>2</v>
      </c>
      <c r="B26" s="115">
        <f>IF($A26&lt;&gt;$A25,VLOOKUP($A26,TeamsData!$A$2:$N$99,12,FALSE),"")</f>
      </c>
      <c r="C26" s="51">
        <f>IF($A26&lt;&gt;$A25,VLOOKUP($A26,TeamsData!$A$2:$N$99,2,FALSE),"")</f>
      </c>
      <c r="D26" s="51">
        <f>IF($A26&lt;&gt;$A25,VLOOKUP($A26,TeamsData!$A$2:$N$99,3,FALSE),"")</f>
      </c>
      <c r="E26" s="109">
        <v>2</v>
      </c>
      <c r="F26" s="140">
        <v>85</v>
      </c>
      <c r="G26" s="109">
        <f t="shared" si="1"/>
        <v>66</v>
      </c>
      <c r="H26" s="109">
        <f t="shared" si="2"/>
      </c>
      <c r="I26" s="109">
        <f t="shared" si="3"/>
      </c>
      <c r="J26" s="109">
        <f t="shared" si="4"/>
      </c>
      <c r="K26" s="109">
        <f t="shared" si="5"/>
      </c>
      <c r="L26" s="109">
        <f t="shared" si="6"/>
      </c>
      <c r="M26" s="109">
        <f t="shared" si="7"/>
      </c>
      <c r="N26" s="109">
        <f t="shared" si="8"/>
      </c>
      <c r="O26" s="109">
        <f t="shared" si="9"/>
      </c>
      <c r="P26" s="109">
        <f t="shared" si="10"/>
      </c>
      <c r="Q26" s="109">
        <f t="shared" si="11"/>
      </c>
      <c r="R26" s="109">
        <f t="shared" si="12"/>
      </c>
      <c r="S26" s="109">
        <f t="shared" si="13"/>
      </c>
      <c r="T26" s="109">
        <f t="shared" si="14"/>
        <v>10</v>
      </c>
      <c r="U26" s="130">
        <f t="shared" si="15"/>
        <v>9</v>
      </c>
      <c r="V26" s="118" t="s">
        <v>182</v>
      </c>
      <c r="W26" s="51">
        <f>VLOOKUP($A26,TeamsData!$A$2:$N$99,12,FALSE)</f>
        <v>8</v>
      </c>
      <c r="X26">
        <v>66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10</v>
      </c>
      <c r="AL26">
        <v>9</v>
      </c>
    </row>
    <row r="27" spans="1:38" ht="13.5" thickBot="1">
      <c r="A27" s="110">
        <v>2</v>
      </c>
      <c r="B27" s="116">
        <f>IF($A27&lt;&gt;$A26,VLOOKUP($A27,TeamsData!$A$2:$N$99,12,FALSE),"")</f>
      </c>
      <c r="C27" s="117">
        <f>IF($A27&lt;&gt;$A26,VLOOKUP($A27,TeamsData!$A$2:$N$99,2,FALSE),"")</f>
      </c>
      <c r="D27" s="117">
        <f>IF($A27&lt;&gt;$A26,VLOOKUP($A27,TeamsData!$A$2:$N$99,3,FALSE),"")</f>
      </c>
      <c r="E27" s="131">
        <v>3</v>
      </c>
      <c r="F27" s="141">
        <v>112</v>
      </c>
      <c r="G27" s="131">
        <f t="shared" si="1"/>
        <v>72</v>
      </c>
      <c r="H27" s="131">
        <f t="shared" si="2"/>
      </c>
      <c r="I27" s="131">
        <f t="shared" si="3"/>
      </c>
      <c r="J27" s="131">
        <f t="shared" si="4"/>
      </c>
      <c r="K27" s="131">
        <f t="shared" si="5"/>
      </c>
      <c r="L27" s="131">
        <f t="shared" si="6"/>
      </c>
      <c r="M27" s="131">
        <f t="shared" si="7"/>
      </c>
      <c r="N27" s="131">
        <f t="shared" si="8"/>
      </c>
      <c r="O27" s="131">
        <f t="shared" si="9"/>
        <v>20</v>
      </c>
      <c r="P27" s="131">
        <f t="shared" si="10"/>
      </c>
      <c r="Q27" s="131">
        <f t="shared" si="11"/>
      </c>
      <c r="R27" s="131">
        <f t="shared" si="12"/>
      </c>
      <c r="S27" s="131">
        <f t="shared" si="13"/>
      </c>
      <c r="T27" s="131">
        <f t="shared" si="14"/>
        <v>20</v>
      </c>
      <c r="U27" s="132">
        <f t="shared" si="15"/>
      </c>
      <c r="V27" s="118" t="s">
        <v>210</v>
      </c>
      <c r="W27" s="51">
        <f>VLOOKUP($A27,TeamsData!$A$2:$N$99,12,FALSE)</f>
        <v>8</v>
      </c>
      <c r="X27">
        <v>72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20</v>
      </c>
      <c r="AG27">
        <v>0</v>
      </c>
      <c r="AH27">
        <v>0</v>
      </c>
      <c r="AI27">
        <v>0</v>
      </c>
      <c r="AJ27">
        <v>0</v>
      </c>
      <c r="AK27">
        <v>20</v>
      </c>
      <c r="AL27">
        <v>0</v>
      </c>
    </row>
    <row r="28" spans="1:38" ht="12.75">
      <c r="A28" s="110">
        <v>25</v>
      </c>
      <c r="B28" s="113">
        <f>IF($A28&lt;&gt;$A27,VLOOKUP($A28,TeamsData!$A$2:$N$99,12,FALSE),"")</f>
        <v>9</v>
      </c>
      <c r="C28" s="114">
        <f>IF($A28&lt;&gt;$A27,VLOOKUP($A28,TeamsData!$A$2:$N$99,2,FALSE),"")</f>
        <v>10934</v>
      </c>
      <c r="D28" s="114" t="str">
        <f>IF($A28&lt;&gt;$A27,VLOOKUP($A28,TeamsData!$A$2:$N$99,3,FALSE),"")</f>
        <v>Vikings</v>
      </c>
      <c r="E28" s="128">
        <v>1</v>
      </c>
      <c r="F28" s="139">
        <v>79</v>
      </c>
      <c r="G28" s="128">
        <f t="shared" si="1"/>
        <v>66</v>
      </c>
      <c r="H28" s="128">
        <f t="shared" si="2"/>
      </c>
      <c r="I28" s="128">
        <f t="shared" si="3"/>
      </c>
      <c r="J28" s="128">
        <f t="shared" si="4"/>
      </c>
      <c r="K28" s="128">
        <f t="shared" si="5"/>
      </c>
      <c r="L28" s="128">
        <f t="shared" si="6"/>
      </c>
      <c r="M28" s="128">
        <f t="shared" si="7"/>
        <v>5</v>
      </c>
      <c r="N28" s="128">
        <f t="shared" si="8"/>
        <v>8</v>
      </c>
      <c r="O28" s="128">
        <f t="shared" si="9"/>
      </c>
      <c r="P28" s="128">
        <f t="shared" si="10"/>
      </c>
      <c r="Q28" s="128">
        <f t="shared" si="11"/>
      </c>
      <c r="R28" s="128">
        <f t="shared" si="12"/>
      </c>
      <c r="S28" s="128">
        <f t="shared" si="13"/>
      </c>
      <c r="T28" s="128">
        <f t="shared" si="14"/>
      </c>
      <c r="U28" s="129">
        <f t="shared" si="15"/>
      </c>
      <c r="V28" s="118" t="s">
        <v>161</v>
      </c>
      <c r="W28" s="51">
        <f>VLOOKUP($A28,TeamsData!$A$2:$N$99,12,FALSE)</f>
        <v>9</v>
      </c>
      <c r="X28">
        <v>66</v>
      </c>
      <c r="Y28">
        <v>0</v>
      </c>
      <c r="Z28">
        <v>0</v>
      </c>
      <c r="AA28">
        <v>0</v>
      </c>
      <c r="AB28">
        <v>0</v>
      </c>
      <c r="AC28">
        <v>0</v>
      </c>
      <c r="AD28">
        <v>5</v>
      </c>
      <c r="AE28">
        <v>8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</row>
    <row r="29" spans="1:38" ht="12.75">
      <c r="A29" s="110">
        <v>25</v>
      </c>
      <c r="B29" s="115">
        <f>IF($A29&lt;&gt;$A28,VLOOKUP($A29,TeamsData!$A$2:$N$99,12,FALSE),"")</f>
      </c>
      <c r="C29" s="51">
        <f>IF($A29&lt;&gt;$A28,VLOOKUP($A29,TeamsData!$A$2:$N$99,2,FALSE),"")</f>
      </c>
      <c r="D29" s="51">
        <f>IF($A29&lt;&gt;$A28,VLOOKUP($A29,TeamsData!$A$2:$N$99,3,FALSE),"")</f>
      </c>
      <c r="E29" s="109">
        <v>2</v>
      </c>
      <c r="F29" s="140">
        <v>111</v>
      </c>
      <c r="G29" s="109">
        <f t="shared" si="1"/>
        <v>66</v>
      </c>
      <c r="H29" s="109">
        <f t="shared" si="2"/>
      </c>
      <c r="I29" s="109">
        <f t="shared" si="3"/>
      </c>
      <c r="J29" s="109">
        <f t="shared" si="4"/>
      </c>
      <c r="K29" s="109">
        <f t="shared" si="5"/>
        <v>3</v>
      </c>
      <c r="L29" s="109">
        <f t="shared" si="6"/>
        <v>14</v>
      </c>
      <c r="M29" s="109">
        <f t="shared" si="7"/>
      </c>
      <c r="N29" s="109">
        <f t="shared" si="8"/>
        <v>8</v>
      </c>
      <c r="O29" s="109">
        <f t="shared" si="9"/>
        <v>20</v>
      </c>
      <c r="P29" s="109">
        <f t="shared" si="10"/>
      </c>
      <c r="Q29" s="109">
        <f t="shared" si="11"/>
      </c>
      <c r="R29" s="109">
        <f t="shared" si="12"/>
      </c>
      <c r="S29" s="109">
        <f t="shared" si="13"/>
      </c>
      <c r="T29" s="109">
        <f t="shared" si="14"/>
      </c>
      <c r="U29" s="130">
        <f t="shared" si="15"/>
      </c>
      <c r="V29" s="118" t="s">
        <v>184</v>
      </c>
      <c r="W29" s="51">
        <f>VLOOKUP($A29,TeamsData!$A$2:$N$99,12,FALSE)</f>
        <v>9</v>
      </c>
      <c r="X29">
        <v>66</v>
      </c>
      <c r="Y29">
        <v>0</v>
      </c>
      <c r="Z29">
        <v>0</v>
      </c>
      <c r="AA29">
        <v>0</v>
      </c>
      <c r="AB29">
        <v>3</v>
      </c>
      <c r="AC29">
        <v>14</v>
      </c>
      <c r="AD29">
        <v>0</v>
      </c>
      <c r="AE29">
        <v>8</v>
      </c>
      <c r="AF29">
        <v>20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</row>
    <row r="30" spans="1:38" ht="13.5" thickBot="1">
      <c r="A30" s="110">
        <v>25</v>
      </c>
      <c r="B30" s="116">
        <f>IF($A30&lt;&gt;$A29,VLOOKUP($A30,TeamsData!$A$2:$N$99,12,FALSE),"")</f>
      </c>
      <c r="C30" s="117">
        <f>IF($A30&lt;&gt;$A29,VLOOKUP($A30,TeamsData!$A$2:$N$99,2,FALSE),"")</f>
      </c>
      <c r="D30" s="117">
        <f>IF($A30&lt;&gt;$A29,VLOOKUP($A30,TeamsData!$A$2:$N$99,3,FALSE),"")</f>
      </c>
      <c r="E30" s="131">
        <v>3</v>
      </c>
      <c r="F30" s="141">
        <v>94</v>
      </c>
      <c r="G30" s="131">
        <f t="shared" si="1"/>
        <v>60</v>
      </c>
      <c r="H30" s="131">
        <f t="shared" si="2"/>
      </c>
      <c r="I30" s="131">
        <f t="shared" si="3"/>
      </c>
      <c r="J30" s="131">
        <f t="shared" si="4"/>
      </c>
      <c r="K30" s="131">
        <f t="shared" si="5"/>
      </c>
      <c r="L30" s="131">
        <f t="shared" si="6"/>
        <v>21</v>
      </c>
      <c r="M30" s="131">
        <f t="shared" si="7"/>
        <v>5</v>
      </c>
      <c r="N30" s="131">
        <f t="shared" si="8"/>
        <v>8</v>
      </c>
      <c r="O30" s="131">
        <f t="shared" si="9"/>
      </c>
      <c r="P30" s="131">
        <f t="shared" si="10"/>
      </c>
      <c r="Q30" s="131">
        <f t="shared" si="11"/>
      </c>
      <c r="R30" s="131">
        <f t="shared" si="12"/>
      </c>
      <c r="S30" s="131">
        <f t="shared" si="13"/>
      </c>
      <c r="T30" s="131">
        <f t="shared" si="14"/>
      </c>
      <c r="U30" s="132">
        <f t="shared" si="15"/>
      </c>
      <c r="V30" s="118" t="s">
        <v>216</v>
      </c>
      <c r="W30" s="51">
        <f>VLOOKUP($A30,TeamsData!$A$2:$N$99,12,FALSE)</f>
        <v>9</v>
      </c>
      <c r="X30">
        <v>60</v>
      </c>
      <c r="Y30">
        <v>0</v>
      </c>
      <c r="Z30">
        <v>0</v>
      </c>
      <c r="AA30">
        <v>0</v>
      </c>
      <c r="AB30">
        <v>0</v>
      </c>
      <c r="AC30">
        <v>21</v>
      </c>
      <c r="AD30">
        <v>5</v>
      </c>
      <c r="AE30">
        <v>8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</row>
    <row r="31" spans="1:38" ht="12.75">
      <c r="A31" s="110">
        <v>19</v>
      </c>
      <c r="B31" s="113">
        <f>IF($A31&lt;&gt;$A30,VLOOKUP($A31,TeamsData!$A$2:$N$99,12,FALSE),"")</f>
        <v>10</v>
      </c>
      <c r="C31" s="114">
        <f>IF($A31&lt;&gt;$A30,VLOOKUP($A31,TeamsData!$A$2:$N$99,2,FALSE),"")</f>
        <v>11271</v>
      </c>
      <c r="D31" s="114" t="str">
        <f>IF($A31&lt;&gt;$A30,VLOOKUP($A31,TeamsData!$A$2:$N$99,3,FALSE),"")</f>
        <v>Robot-Arbiters</v>
      </c>
      <c r="E31" s="128">
        <v>1</v>
      </c>
      <c r="F31" s="139">
        <v>111</v>
      </c>
      <c r="G31" s="128">
        <f t="shared" si="1"/>
        <v>66</v>
      </c>
      <c r="H31" s="128">
        <f t="shared" si="2"/>
        <v>9</v>
      </c>
      <c r="I31" s="128">
        <f t="shared" si="3"/>
      </c>
      <c r="J31" s="128">
        <f t="shared" si="4"/>
      </c>
      <c r="K31" s="128">
        <f t="shared" si="5"/>
      </c>
      <c r="L31" s="128">
        <f t="shared" si="6"/>
        <v>7</v>
      </c>
      <c r="M31" s="128">
        <f t="shared" si="7"/>
        <v>9</v>
      </c>
      <c r="N31" s="128">
        <f t="shared" si="8"/>
      </c>
      <c r="O31" s="128">
        <f t="shared" si="9"/>
        <v>20</v>
      </c>
      <c r="P31" s="128">
        <f t="shared" si="10"/>
      </c>
      <c r="Q31" s="128">
        <f t="shared" si="11"/>
      </c>
      <c r="R31" s="128">
        <f t="shared" si="12"/>
      </c>
      <c r="S31" s="128">
        <f t="shared" si="13"/>
      </c>
      <c r="T31" s="128">
        <f t="shared" si="14"/>
      </c>
      <c r="U31" s="129">
        <f t="shared" si="15"/>
      </c>
      <c r="V31" s="119" t="s">
        <v>146</v>
      </c>
      <c r="W31" s="51">
        <f>VLOOKUP($A31,TeamsData!$A$2:$N$99,12,FALSE)</f>
        <v>10</v>
      </c>
      <c r="X31">
        <v>66</v>
      </c>
      <c r="Y31">
        <v>9</v>
      </c>
      <c r="Z31">
        <v>0</v>
      </c>
      <c r="AA31">
        <v>0</v>
      </c>
      <c r="AB31">
        <v>0</v>
      </c>
      <c r="AC31">
        <v>7</v>
      </c>
      <c r="AD31">
        <v>9</v>
      </c>
      <c r="AE31">
        <v>0</v>
      </c>
      <c r="AF31">
        <v>20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</row>
    <row r="32" spans="1:38" ht="12.75">
      <c r="A32" s="110">
        <v>19</v>
      </c>
      <c r="B32" s="115">
        <f>IF($A32&lt;&gt;$A31,VLOOKUP($A32,TeamsData!$A$2:$N$99,12,FALSE),"")</f>
      </c>
      <c r="C32" s="51">
        <f>IF($A32&lt;&gt;$A31,VLOOKUP($A32,TeamsData!$A$2:$N$99,2,FALSE),"")</f>
      </c>
      <c r="D32" s="51">
        <f>IF($A32&lt;&gt;$A31,VLOOKUP($A32,TeamsData!$A$2:$N$99,3,FALSE),"")</f>
      </c>
      <c r="E32" s="109">
        <v>2</v>
      </c>
      <c r="F32" s="140">
        <v>90</v>
      </c>
      <c r="G32" s="109">
        <f t="shared" si="1"/>
        <v>72</v>
      </c>
      <c r="H32" s="109">
        <f t="shared" si="2"/>
      </c>
      <c r="I32" s="109">
        <f t="shared" si="3"/>
      </c>
      <c r="J32" s="109">
        <f t="shared" si="4"/>
      </c>
      <c r="K32" s="109">
        <f t="shared" si="5"/>
      </c>
      <c r="L32" s="109">
        <f t="shared" si="6"/>
      </c>
      <c r="M32" s="109">
        <f t="shared" si="7"/>
        <v>9</v>
      </c>
      <c r="N32" s="109">
        <f t="shared" si="8"/>
      </c>
      <c r="O32" s="109">
        <f t="shared" si="9"/>
      </c>
      <c r="P32" s="109">
        <f t="shared" si="10"/>
      </c>
      <c r="Q32" s="109">
        <f t="shared" si="11"/>
      </c>
      <c r="R32" s="109">
        <f t="shared" si="12"/>
      </c>
      <c r="S32" s="109">
        <f t="shared" si="13"/>
      </c>
      <c r="T32" s="109">
        <f t="shared" si="14"/>
      </c>
      <c r="U32" s="130">
        <f t="shared" si="15"/>
        <v>9</v>
      </c>
      <c r="V32" s="118" t="s">
        <v>162</v>
      </c>
      <c r="W32" s="51">
        <f>VLOOKUP($A32,TeamsData!$A$2:$N$99,12,FALSE)</f>
        <v>10</v>
      </c>
      <c r="X32">
        <v>72</v>
      </c>
      <c r="Y32">
        <v>0</v>
      </c>
      <c r="Z32">
        <v>0</v>
      </c>
      <c r="AA32">
        <v>0</v>
      </c>
      <c r="AB32">
        <v>0</v>
      </c>
      <c r="AC32">
        <v>0</v>
      </c>
      <c r="AD32">
        <v>9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9</v>
      </c>
    </row>
    <row r="33" spans="1:38" ht="13.5" thickBot="1">
      <c r="A33" s="110">
        <v>19</v>
      </c>
      <c r="B33" s="116">
        <f>IF($A33&lt;&gt;$A32,VLOOKUP($A33,TeamsData!$A$2:$N$99,12,FALSE),"")</f>
      </c>
      <c r="C33" s="117">
        <f>IF($A33&lt;&gt;$A32,VLOOKUP($A33,TeamsData!$A$2:$N$99,2,FALSE),"")</f>
      </c>
      <c r="D33" s="117">
        <f>IF($A33&lt;&gt;$A32,VLOOKUP($A33,TeamsData!$A$2:$N$99,3,FALSE),"")</f>
      </c>
      <c r="E33" s="131">
        <v>3</v>
      </c>
      <c r="F33" s="141">
        <v>93</v>
      </c>
      <c r="G33" s="131">
        <f t="shared" si="1"/>
        <v>72</v>
      </c>
      <c r="H33" s="131">
        <f t="shared" si="2"/>
      </c>
      <c r="I33" s="131">
        <f t="shared" si="3"/>
      </c>
      <c r="J33" s="131">
        <f t="shared" si="4"/>
      </c>
      <c r="K33" s="131">
        <f t="shared" si="5"/>
      </c>
      <c r="L33" s="131">
        <f t="shared" si="6"/>
      </c>
      <c r="M33" s="131">
        <f t="shared" si="7"/>
        <v>9</v>
      </c>
      <c r="N33" s="131">
        <f t="shared" si="8"/>
      </c>
      <c r="O33" s="131">
        <f t="shared" si="9"/>
        <v>12</v>
      </c>
      <c r="P33" s="131">
        <f t="shared" si="10"/>
      </c>
      <c r="Q33" s="131">
        <f t="shared" si="11"/>
      </c>
      <c r="R33" s="131">
        <f t="shared" si="12"/>
      </c>
      <c r="S33" s="131">
        <f t="shared" si="13"/>
      </c>
      <c r="T33" s="131">
        <f t="shared" si="14"/>
      </c>
      <c r="U33" s="132">
        <f t="shared" si="15"/>
      </c>
      <c r="V33" s="118" t="s">
        <v>195</v>
      </c>
      <c r="W33" s="51">
        <f>VLOOKUP($A33,TeamsData!$A$2:$N$99,12,FALSE)</f>
        <v>10</v>
      </c>
      <c r="X33">
        <v>72</v>
      </c>
      <c r="Y33">
        <v>0</v>
      </c>
      <c r="Z33">
        <v>0</v>
      </c>
      <c r="AA33">
        <v>0</v>
      </c>
      <c r="AB33">
        <v>0</v>
      </c>
      <c r="AC33">
        <v>0</v>
      </c>
      <c r="AD33">
        <v>9</v>
      </c>
      <c r="AE33">
        <v>0</v>
      </c>
      <c r="AF33">
        <v>12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</row>
    <row r="34" spans="1:38" ht="12.75">
      <c r="A34" s="110">
        <v>12</v>
      </c>
      <c r="B34" s="113">
        <f>IF($A34&lt;&gt;$A33,VLOOKUP($A34,TeamsData!$A$2:$N$99,12,FALSE),"")</f>
        <v>11</v>
      </c>
      <c r="C34" s="114">
        <f>IF($A34&lt;&gt;$A33,VLOOKUP($A34,TeamsData!$A$2:$N$99,2,FALSE),"")</f>
        <v>8949</v>
      </c>
      <c r="D34" s="114" t="str">
        <f>IF($A34&lt;&gt;$A33,VLOOKUP($A34,TeamsData!$A$2:$N$99,3,FALSE),"")</f>
        <v>Mechanxt</v>
      </c>
      <c r="E34" s="128">
        <v>1</v>
      </c>
      <c r="F34" s="139">
        <v>109</v>
      </c>
      <c r="G34" s="128">
        <f t="shared" si="1"/>
        <v>66</v>
      </c>
      <c r="H34" s="128">
        <f t="shared" si="2"/>
      </c>
      <c r="I34" s="128">
        <f t="shared" si="3"/>
      </c>
      <c r="J34" s="128">
        <f t="shared" si="4"/>
        <v>7</v>
      </c>
      <c r="K34" s="128">
        <f t="shared" si="5"/>
      </c>
      <c r="L34" s="128">
        <f t="shared" si="6"/>
        <v>12</v>
      </c>
      <c r="M34" s="128">
        <f t="shared" si="7"/>
      </c>
      <c r="N34" s="128">
        <f t="shared" si="8"/>
        <v>4</v>
      </c>
      <c r="O34" s="128">
        <f t="shared" si="9"/>
        <v>20</v>
      </c>
      <c r="P34" s="128">
        <f t="shared" si="10"/>
      </c>
      <c r="Q34" s="128">
        <f t="shared" si="11"/>
      </c>
      <c r="R34" s="128">
        <f t="shared" si="12"/>
      </c>
      <c r="S34" s="128">
        <f t="shared" si="13"/>
      </c>
      <c r="T34" s="128">
        <f t="shared" si="14"/>
      </c>
      <c r="U34" s="129">
        <f t="shared" si="15"/>
      </c>
      <c r="V34" s="118" t="s">
        <v>156</v>
      </c>
      <c r="W34" s="51">
        <f>VLOOKUP($A34,TeamsData!$A$2:$N$99,12,FALSE)</f>
        <v>11</v>
      </c>
      <c r="X34">
        <v>66</v>
      </c>
      <c r="Y34">
        <v>0</v>
      </c>
      <c r="Z34">
        <v>0</v>
      </c>
      <c r="AA34">
        <v>7</v>
      </c>
      <c r="AB34">
        <v>0</v>
      </c>
      <c r="AC34">
        <v>12</v>
      </c>
      <c r="AD34">
        <v>0</v>
      </c>
      <c r="AE34">
        <v>4</v>
      </c>
      <c r="AF34">
        <v>20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</row>
    <row r="35" spans="1:38" ht="13.5" thickBot="1">
      <c r="A35" s="121">
        <v>12</v>
      </c>
      <c r="B35" s="122">
        <f>IF($A35&lt;&gt;$A34,VLOOKUP($A35,TeamsData!$A$2:$N$99,12,FALSE),"")</f>
      </c>
      <c r="C35" s="123">
        <f>IF($A35&lt;&gt;$A34,VLOOKUP($A35,TeamsData!$A$2:$N$99,2,FALSE),"")</f>
      </c>
      <c r="D35" s="123">
        <f>IF($A35&lt;&gt;$A34,VLOOKUP($A35,TeamsData!$A$2:$N$99,3,FALSE),"")</f>
      </c>
      <c r="E35" s="53">
        <v>2</v>
      </c>
      <c r="F35" s="142">
        <v>78</v>
      </c>
      <c r="G35" s="53">
        <f t="shared" si="1"/>
        <v>66</v>
      </c>
      <c r="H35" s="53">
        <f t="shared" si="2"/>
      </c>
      <c r="I35" s="53">
        <f t="shared" si="3"/>
      </c>
      <c r="J35" s="53">
        <f t="shared" si="4"/>
      </c>
      <c r="K35" s="53">
        <f t="shared" si="5"/>
      </c>
      <c r="L35" s="53">
        <f t="shared" si="6"/>
        <v>7</v>
      </c>
      <c r="M35" s="53">
        <f t="shared" si="7"/>
        <v>5</v>
      </c>
      <c r="N35" s="53">
        <f t="shared" si="8"/>
      </c>
      <c r="O35" s="53">
        <f t="shared" si="9"/>
      </c>
      <c r="P35" s="53">
        <f t="shared" si="10"/>
      </c>
      <c r="Q35" s="53">
        <f t="shared" si="11"/>
      </c>
      <c r="R35" s="53">
        <f t="shared" si="12"/>
      </c>
      <c r="S35" s="53">
        <f t="shared" si="13"/>
      </c>
      <c r="T35" s="53">
        <f t="shared" si="14"/>
      </c>
      <c r="U35" s="133">
        <f t="shared" si="15"/>
      </c>
      <c r="V35" s="118" t="s">
        <v>180</v>
      </c>
      <c r="W35" s="51">
        <f>VLOOKUP($A35,TeamsData!$A$2:$N$99,12,FALSE)</f>
        <v>11</v>
      </c>
      <c r="X35">
        <v>66</v>
      </c>
      <c r="Y35">
        <v>0</v>
      </c>
      <c r="Z35">
        <v>0</v>
      </c>
      <c r="AA35">
        <v>0</v>
      </c>
      <c r="AB35">
        <v>0</v>
      </c>
      <c r="AC35">
        <v>7</v>
      </c>
      <c r="AD35">
        <v>5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</row>
    <row r="36" spans="1:38" ht="12.75">
      <c r="A36" s="124">
        <v>9</v>
      </c>
      <c r="B36" s="114">
        <f>IF($A36&lt;&gt;$A35,VLOOKUP($A36,TeamsData!$A$2:$N$99,12,FALSE),"")</f>
        <v>12</v>
      </c>
      <c r="C36" s="114">
        <f>IF($A36&lt;&gt;$A35,VLOOKUP($A36,TeamsData!$A$2:$N$99,2,FALSE),"")</f>
        <v>6996</v>
      </c>
      <c r="D36" s="114" t="str">
        <f>IF($A36&lt;&gt;$A35,VLOOKUP($A36,TeamsData!$A$2:$N$99,3,FALSE),"")</f>
        <v>Lego Lightning</v>
      </c>
      <c r="E36" s="128">
        <v>1</v>
      </c>
      <c r="F36" s="139">
        <v>107</v>
      </c>
      <c r="G36" s="128">
        <f t="shared" si="1"/>
        <v>72</v>
      </c>
      <c r="H36" s="128">
        <f t="shared" si="2"/>
      </c>
      <c r="I36" s="128">
        <f t="shared" si="3"/>
        <v>15</v>
      </c>
      <c r="J36" s="128">
        <f t="shared" si="4"/>
      </c>
      <c r="K36" s="128">
        <f t="shared" si="5"/>
        <v>9</v>
      </c>
      <c r="L36" s="128">
        <f t="shared" si="6"/>
        <v>7</v>
      </c>
      <c r="M36" s="128">
        <f t="shared" si="7"/>
      </c>
      <c r="N36" s="128">
        <f t="shared" si="8"/>
        <v>4</v>
      </c>
      <c r="O36" s="128">
        <f t="shared" si="9"/>
      </c>
      <c r="P36" s="128">
        <f t="shared" si="10"/>
      </c>
      <c r="Q36" s="128">
        <f t="shared" si="11"/>
      </c>
      <c r="R36" s="128">
        <f t="shared" si="12"/>
      </c>
      <c r="S36" s="128">
        <f t="shared" si="13"/>
      </c>
      <c r="T36" s="128">
        <f t="shared" si="14"/>
      </c>
      <c r="U36" s="129">
        <f t="shared" si="15"/>
      </c>
      <c r="V36" s="119" t="s">
        <v>151</v>
      </c>
      <c r="W36" s="51">
        <f>VLOOKUP($A36,TeamsData!$A$2:$N$99,12,FALSE)</f>
        <v>12</v>
      </c>
      <c r="X36">
        <v>72</v>
      </c>
      <c r="Y36">
        <v>0</v>
      </c>
      <c r="Z36">
        <v>15</v>
      </c>
      <c r="AA36">
        <v>0</v>
      </c>
      <c r="AB36">
        <v>9</v>
      </c>
      <c r="AC36">
        <v>7</v>
      </c>
      <c r="AD36">
        <v>0</v>
      </c>
      <c r="AE36">
        <v>4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</row>
    <row r="37" spans="1:38" ht="12.75">
      <c r="A37" s="125">
        <v>9</v>
      </c>
      <c r="B37" s="51">
        <f>IF($A37&lt;&gt;$A36,VLOOKUP($A37,TeamsData!$A$2:$N$99,12,FALSE),"")</f>
      </c>
      <c r="C37" s="51">
        <f>IF($A37&lt;&gt;$A36,VLOOKUP($A37,TeamsData!$A$2:$N$99,2,FALSE),"")</f>
      </c>
      <c r="D37" s="51">
        <f>IF($A37&lt;&gt;$A36,VLOOKUP($A37,TeamsData!$A$2:$N$99,3,FALSE),"")</f>
      </c>
      <c r="E37" s="109">
        <v>2</v>
      </c>
      <c r="F37" s="140">
        <v>81</v>
      </c>
      <c r="G37" s="109">
        <f t="shared" si="1"/>
        <v>66</v>
      </c>
      <c r="H37" s="109">
        <f t="shared" si="2"/>
      </c>
      <c r="I37" s="109">
        <f t="shared" si="3"/>
      </c>
      <c r="J37" s="109">
        <f t="shared" si="4"/>
      </c>
      <c r="K37" s="109">
        <f t="shared" si="5"/>
      </c>
      <c r="L37" s="109">
        <f t="shared" si="6"/>
        <v>7</v>
      </c>
      <c r="M37" s="109">
        <f t="shared" si="7"/>
      </c>
      <c r="N37" s="109">
        <f t="shared" si="8"/>
        <v>8</v>
      </c>
      <c r="O37" s="109">
        <f t="shared" si="9"/>
      </c>
      <c r="P37" s="109">
        <f t="shared" si="10"/>
      </c>
      <c r="Q37" s="109">
        <f t="shared" si="11"/>
      </c>
      <c r="R37" s="109">
        <f t="shared" si="12"/>
      </c>
      <c r="S37" s="109">
        <f t="shared" si="13"/>
      </c>
      <c r="T37" s="109">
        <f t="shared" si="14"/>
      </c>
      <c r="U37" s="130">
        <f t="shared" si="15"/>
      </c>
      <c r="V37" s="118" t="s">
        <v>179</v>
      </c>
      <c r="W37" s="51">
        <f>VLOOKUP($A37,TeamsData!$A$2:$N$99,12,FALSE)</f>
        <v>12</v>
      </c>
      <c r="X37">
        <v>66</v>
      </c>
      <c r="Y37">
        <v>0</v>
      </c>
      <c r="Z37">
        <v>0</v>
      </c>
      <c r="AA37">
        <v>0</v>
      </c>
      <c r="AB37">
        <v>0</v>
      </c>
      <c r="AC37">
        <v>7</v>
      </c>
      <c r="AD37">
        <v>0</v>
      </c>
      <c r="AE37">
        <v>8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</row>
    <row r="38" spans="1:38" ht="13.5" thickBot="1">
      <c r="A38" s="126">
        <v>9</v>
      </c>
      <c r="B38" s="117">
        <f>IF($A38&lt;&gt;$A37,VLOOKUP($A38,TeamsData!$A$2:$N$99,12,FALSE),"")</f>
      </c>
      <c r="C38" s="117">
        <f>IF($A38&lt;&gt;$A37,VLOOKUP($A38,TeamsData!$A$2:$N$99,2,FALSE),"")</f>
      </c>
      <c r="D38" s="117">
        <f>IF($A38&lt;&gt;$A37,VLOOKUP($A38,TeamsData!$A$2:$N$99,3,FALSE),"")</f>
      </c>
      <c r="E38" s="131">
        <v>3</v>
      </c>
      <c r="F38" s="141">
        <v>100</v>
      </c>
      <c r="G38" s="131">
        <f t="shared" si="1"/>
        <v>60</v>
      </c>
      <c r="H38" s="131">
        <f t="shared" si="2"/>
      </c>
      <c r="I38" s="131">
        <f t="shared" si="3"/>
      </c>
      <c r="J38" s="131">
        <f t="shared" si="4"/>
      </c>
      <c r="K38" s="131">
        <f t="shared" si="5"/>
      </c>
      <c r="L38" s="131">
        <f t="shared" si="6"/>
        <v>7</v>
      </c>
      <c r="M38" s="131">
        <f t="shared" si="7"/>
        <v>5</v>
      </c>
      <c r="N38" s="131">
        <f t="shared" si="8"/>
        <v>8</v>
      </c>
      <c r="O38" s="131">
        <f t="shared" si="9"/>
        <v>20</v>
      </c>
      <c r="P38" s="131">
        <f t="shared" si="10"/>
      </c>
      <c r="Q38" s="131">
        <f t="shared" si="11"/>
      </c>
      <c r="R38" s="131">
        <f t="shared" si="12"/>
      </c>
      <c r="S38" s="131">
        <f t="shared" si="13"/>
      </c>
      <c r="T38" s="131">
        <f t="shared" si="14"/>
      </c>
      <c r="U38" s="132">
        <f t="shared" si="15"/>
      </c>
      <c r="V38" s="118" t="s">
        <v>201</v>
      </c>
      <c r="W38" s="51">
        <f>VLOOKUP($A38,TeamsData!$A$2:$N$99,12,FALSE)</f>
        <v>12</v>
      </c>
      <c r="X38">
        <v>60</v>
      </c>
      <c r="Y38">
        <v>0</v>
      </c>
      <c r="Z38">
        <v>0</v>
      </c>
      <c r="AA38">
        <v>0</v>
      </c>
      <c r="AB38">
        <v>0</v>
      </c>
      <c r="AC38">
        <v>7</v>
      </c>
      <c r="AD38">
        <v>5</v>
      </c>
      <c r="AE38">
        <v>8</v>
      </c>
      <c r="AF38">
        <v>20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</row>
    <row r="39" spans="1:38" ht="12.75">
      <c r="A39" s="127">
        <v>1</v>
      </c>
      <c r="B39" s="113">
        <f>IF($A39&lt;&gt;$A38,VLOOKUP($A39,TeamsData!$A$2:$N$99,12,FALSE),"")</f>
        <v>13</v>
      </c>
      <c r="C39" s="114">
        <f>IF($A39&lt;&gt;$A38,VLOOKUP($A39,TeamsData!$A$2:$N$99,2,FALSE),"")</f>
        <v>8947</v>
      </c>
      <c r="D39" s="114" t="str">
        <f>IF($A39&lt;&gt;$A38,VLOOKUP($A39,TeamsData!$A$2:$N$99,3,FALSE),"")</f>
        <v>40 Loyola SAPlings</v>
      </c>
      <c r="E39" s="128">
        <v>1</v>
      </c>
      <c r="F39" s="139">
        <v>103</v>
      </c>
      <c r="G39" s="128">
        <f t="shared" si="1"/>
        <v>66</v>
      </c>
      <c r="H39" s="128">
        <f t="shared" si="2"/>
      </c>
      <c r="I39" s="128">
        <f t="shared" si="3"/>
      </c>
      <c r="J39" s="128">
        <f t="shared" si="4"/>
      </c>
      <c r="K39" s="128">
        <f t="shared" si="5"/>
      </c>
      <c r="L39" s="128">
        <f t="shared" si="6"/>
      </c>
      <c r="M39" s="128">
        <f t="shared" si="7"/>
        <v>9</v>
      </c>
      <c r="N39" s="128">
        <f t="shared" si="8"/>
        <v>8</v>
      </c>
      <c r="O39" s="128">
        <f t="shared" si="9"/>
        <v>20</v>
      </c>
      <c r="P39" s="128">
        <f t="shared" si="10"/>
      </c>
      <c r="Q39" s="128">
        <f t="shared" si="11"/>
      </c>
      <c r="R39" s="128">
        <f t="shared" si="12"/>
      </c>
      <c r="S39" s="128">
        <f t="shared" si="13"/>
      </c>
      <c r="T39" s="128">
        <f t="shared" si="14"/>
      </c>
      <c r="U39" s="129">
        <f t="shared" si="15"/>
      </c>
      <c r="V39" s="118" t="s">
        <v>163</v>
      </c>
      <c r="W39" s="51">
        <f>VLOOKUP($A39,TeamsData!$A$2:$N$99,12,FALSE)</f>
        <v>13</v>
      </c>
      <c r="X39">
        <v>66</v>
      </c>
      <c r="Y39">
        <v>0</v>
      </c>
      <c r="Z39">
        <v>0</v>
      </c>
      <c r="AA39">
        <v>0</v>
      </c>
      <c r="AB39">
        <v>0</v>
      </c>
      <c r="AC39">
        <v>0</v>
      </c>
      <c r="AD39">
        <v>9</v>
      </c>
      <c r="AE39">
        <v>8</v>
      </c>
      <c r="AF39">
        <v>20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</row>
    <row r="40" spans="1:38" ht="12.75">
      <c r="A40" s="110">
        <v>1</v>
      </c>
      <c r="B40" s="115">
        <f>IF($A40&lt;&gt;$A39,VLOOKUP($A40,TeamsData!$A$2:$N$99,12,FALSE),"")</f>
      </c>
      <c r="C40" s="51">
        <f>IF($A40&lt;&gt;$A39,VLOOKUP($A40,TeamsData!$A$2:$N$99,2,FALSE),"")</f>
      </c>
      <c r="D40" s="51">
        <f>IF($A40&lt;&gt;$A39,VLOOKUP($A40,TeamsData!$A$2:$N$99,3,FALSE),"")</f>
      </c>
      <c r="E40" s="109">
        <v>2</v>
      </c>
      <c r="F40" s="140">
        <v>79</v>
      </c>
      <c r="G40" s="109">
        <f t="shared" si="1"/>
        <v>66</v>
      </c>
      <c r="H40" s="109">
        <f t="shared" si="2"/>
      </c>
      <c r="I40" s="109">
        <f t="shared" si="3"/>
      </c>
      <c r="J40" s="109">
        <f t="shared" si="4"/>
      </c>
      <c r="K40" s="109">
        <f t="shared" si="5"/>
      </c>
      <c r="L40" s="109">
        <f t="shared" si="6"/>
      </c>
      <c r="M40" s="109">
        <f t="shared" si="7"/>
        <v>5</v>
      </c>
      <c r="N40" s="109">
        <f t="shared" si="8"/>
        <v>8</v>
      </c>
      <c r="O40" s="109">
        <f t="shared" si="9"/>
      </c>
      <c r="P40" s="109">
        <f t="shared" si="10"/>
      </c>
      <c r="Q40" s="109">
        <f t="shared" si="11"/>
      </c>
      <c r="R40" s="109">
        <f t="shared" si="12"/>
      </c>
      <c r="S40" s="109">
        <f t="shared" si="13"/>
      </c>
      <c r="T40" s="109">
        <f t="shared" si="14"/>
      </c>
      <c r="U40" s="130">
        <f t="shared" si="15"/>
      </c>
      <c r="V40" s="118" t="s">
        <v>196</v>
      </c>
      <c r="W40" s="51">
        <f>VLOOKUP($A40,TeamsData!$A$2:$N$99,12,FALSE)</f>
        <v>13</v>
      </c>
      <c r="X40">
        <v>66</v>
      </c>
      <c r="Y40">
        <v>0</v>
      </c>
      <c r="Z40">
        <v>0</v>
      </c>
      <c r="AA40">
        <v>0</v>
      </c>
      <c r="AB40">
        <v>0</v>
      </c>
      <c r="AC40">
        <v>0</v>
      </c>
      <c r="AD40">
        <v>5</v>
      </c>
      <c r="AE40">
        <v>8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</row>
    <row r="41" spans="1:38" ht="13.5" thickBot="1">
      <c r="A41" s="121">
        <v>1</v>
      </c>
      <c r="B41" s="122">
        <f>IF($A41&lt;&gt;$A40,VLOOKUP($A41,TeamsData!$A$2:$N$99,12,FALSE),"")</f>
      </c>
      <c r="C41" s="123">
        <f>IF($A41&lt;&gt;$A40,VLOOKUP($A41,TeamsData!$A$2:$N$99,2,FALSE),"")</f>
      </c>
      <c r="D41" s="123">
        <f>IF($A41&lt;&gt;$A40,VLOOKUP($A41,TeamsData!$A$2:$N$99,3,FALSE),"")</f>
      </c>
      <c r="E41" s="53">
        <v>3</v>
      </c>
      <c r="F41" s="142">
        <v>80</v>
      </c>
      <c r="G41" s="53">
        <f t="shared" si="1"/>
        <v>60</v>
      </c>
      <c r="H41" s="53">
        <f t="shared" si="2"/>
      </c>
      <c r="I41" s="53">
        <f t="shared" si="3"/>
      </c>
      <c r="J41" s="53">
        <f t="shared" si="4"/>
      </c>
      <c r="K41" s="53">
        <f t="shared" si="5"/>
      </c>
      <c r="L41" s="53">
        <f t="shared" si="6"/>
        <v>7</v>
      </c>
      <c r="M41" s="53">
        <f t="shared" si="7"/>
        <v>5</v>
      </c>
      <c r="N41" s="53">
        <f t="shared" si="8"/>
        <v>8</v>
      </c>
      <c r="O41" s="53">
        <f t="shared" si="9"/>
      </c>
      <c r="P41" s="53">
        <f t="shared" si="10"/>
      </c>
      <c r="Q41" s="53">
        <f t="shared" si="11"/>
      </c>
      <c r="R41" s="53">
        <f t="shared" si="12"/>
      </c>
      <c r="S41" s="53">
        <f t="shared" si="13"/>
      </c>
      <c r="T41" s="53">
        <f t="shared" si="14"/>
      </c>
      <c r="U41" s="133">
        <f t="shared" si="15"/>
      </c>
      <c r="V41" s="118" t="s">
        <v>200</v>
      </c>
      <c r="W41" s="51">
        <f>VLOOKUP($A41,TeamsData!$A$2:$N$99,12,FALSE)</f>
        <v>13</v>
      </c>
      <c r="X41">
        <v>60</v>
      </c>
      <c r="Y41">
        <v>0</v>
      </c>
      <c r="Z41">
        <v>0</v>
      </c>
      <c r="AA41">
        <v>0</v>
      </c>
      <c r="AB41">
        <v>0</v>
      </c>
      <c r="AC41">
        <v>7</v>
      </c>
      <c r="AD41">
        <v>5</v>
      </c>
      <c r="AE41">
        <v>8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</row>
    <row r="42" spans="1:38" ht="12.75">
      <c r="A42" s="124">
        <v>16</v>
      </c>
      <c r="B42" s="114">
        <f>IF($A42&lt;&gt;$A41,VLOOKUP($A42,TeamsData!$A$2:$N$99,12,FALSE),"")</f>
        <v>14</v>
      </c>
      <c r="C42" s="114">
        <f>IF($A42&lt;&gt;$A41,VLOOKUP($A42,TeamsData!$A$2:$N$99,2,FALSE),"")</f>
        <v>4640</v>
      </c>
      <c r="D42" s="114" t="str">
        <f>IF($A42&lt;&gt;$A41,VLOOKUP($A42,TeamsData!$A$2:$N$99,3,FALSE),"")</f>
        <v>N-Knacks-T</v>
      </c>
      <c r="E42" s="128">
        <v>1</v>
      </c>
      <c r="F42" s="139">
        <v>61</v>
      </c>
      <c r="G42" s="128">
        <f t="shared" si="1"/>
        <v>48</v>
      </c>
      <c r="H42" s="128">
        <f t="shared" si="2"/>
        <v>9</v>
      </c>
      <c r="I42" s="128">
        <f t="shared" si="3"/>
      </c>
      <c r="J42" s="128">
        <f t="shared" si="4"/>
      </c>
      <c r="K42" s="128">
        <f t="shared" si="5"/>
      </c>
      <c r="L42" s="128">
        <f t="shared" si="6"/>
      </c>
      <c r="M42" s="128">
        <f t="shared" si="7"/>
      </c>
      <c r="N42" s="128">
        <f t="shared" si="8"/>
        <v>4</v>
      </c>
      <c r="O42" s="128">
        <f t="shared" si="9"/>
      </c>
      <c r="P42" s="128">
        <f t="shared" si="10"/>
      </c>
      <c r="Q42" s="128">
        <f t="shared" si="11"/>
      </c>
      <c r="R42" s="128">
        <f t="shared" si="12"/>
      </c>
      <c r="S42" s="128">
        <f t="shared" si="13"/>
      </c>
      <c r="T42" s="128">
        <f t="shared" si="14"/>
      </c>
      <c r="U42" s="129">
        <f t="shared" si="15"/>
      </c>
      <c r="V42" s="119" t="s">
        <v>150</v>
      </c>
      <c r="W42" s="51">
        <f>VLOOKUP($A42,TeamsData!$A$2:$N$99,12,FALSE)</f>
        <v>14</v>
      </c>
      <c r="X42">
        <v>48</v>
      </c>
      <c r="Y42">
        <v>9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4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</row>
    <row r="43" spans="1:38" ht="12.75">
      <c r="A43" s="125">
        <v>16</v>
      </c>
      <c r="B43" s="51">
        <f>IF($A43&lt;&gt;$A42,VLOOKUP($A43,TeamsData!$A$2:$N$99,12,FALSE),"")</f>
      </c>
      <c r="C43" s="51">
        <f>IF($A43&lt;&gt;$A42,VLOOKUP($A43,TeamsData!$A$2:$N$99,2,FALSE),"")</f>
      </c>
      <c r="D43" s="51">
        <f>IF($A43&lt;&gt;$A42,VLOOKUP($A43,TeamsData!$A$2:$N$99,3,FALSE),"")</f>
      </c>
      <c r="E43" s="109">
        <v>2</v>
      </c>
      <c r="F43" s="140">
        <v>101</v>
      </c>
      <c r="G43" s="109">
        <f t="shared" si="1"/>
        <v>72</v>
      </c>
      <c r="H43" s="109">
        <f t="shared" si="2"/>
        <v>9</v>
      </c>
      <c r="I43" s="109">
        <f t="shared" si="3"/>
      </c>
      <c r="J43" s="109">
        <f t="shared" si="4"/>
      </c>
      <c r="K43" s="109">
        <f t="shared" si="5"/>
      </c>
      <c r="L43" s="109">
        <f t="shared" si="6"/>
      </c>
      <c r="M43" s="109">
        <f t="shared" si="7"/>
      </c>
      <c r="N43" s="109">
        <f t="shared" si="8"/>
      </c>
      <c r="O43" s="109">
        <f t="shared" si="9"/>
        <v>20</v>
      </c>
      <c r="P43" s="109">
        <f t="shared" si="10"/>
      </c>
      <c r="Q43" s="109">
        <f t="shared" si="11"/>
      </c>
      <c r="R43" s="109">
        <f t="shared" si="12"/>
      </c>
      <c r="S43" s="109">
        <f t="shared" si="13"/>
      </c>
      <c r="T43" s="109">
        <f t="shared" si="14"/>
      </c>
      <c r="U43" s="130">
        <f t="shared" si="15"/>
      </c>
      <c r="V43" s="118" t="s">
        <v>169</v>
      </c>
      <c r="W43" s="51">
        <f>VLOOKUP($A43,TeamsData!$A$2:$N$99,12,FALSE)</f>
        <v>14</v>
      </c>
      <c r="X43">
        <v>72</v>
      </c>
      <c r="Y43">
        <v>9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20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</row>
    <row r="44" spans="1:38" ht="12.75">
      <c r="A44" s="125">
        <v>16</v>
      </c>
      <c r="B44" s="51">
        <f>IF($A44&lt;&gt;$A43,VLOOKUP($A44,TeamsData!$A$2:$N$99,12,FALSE),"")</f>
      </c>
      <c r="C44" s="51">
        <f>IF($A44&lt;&gt;$A43,VLOOKUP($A44,TeamsData!$A$2:$N$99,2,FALSE),"")</f>
      </c>
      <c r="D44" s="51">
        <f>IF($A44&lt;&gt;$A43,VLOOKUP($A44,TeamsData!$A$2:$N$99,3,FALSE),"")</f>
      </c>
      <c r="E44" s="109">
        <v>3</v>
      </c>
      <c r="F44" s="140">
        <v>73</v>
      </c>
      <c r="G44" s="109">
        <f t="shared" si="1"/>
        <v>66</v>
      </c>
      <c r="H44" s="109">
        <f t="shared" si="2"/>
      </c>
      <c r="I44" s="109">
        <f t="shared" si="3"/>
      </c>
      <c r="J44" s="109">
        <f t="shared" si="4"/>
      </c>
      <c r="K44" s="109">
        <f t="shared" si="5"/>
        <v>3</v>
      </c>
      <c r="L44" s="109">
        <f t="shared" si="6"/>
      </c>
      <c r="M44" s="109">
        <f t="shared" si="7"/>
      </c>
      <c r="N44" s="109">
        <f t="shared" si="8"/>
        <v>4</v>
      </c>
      <c r="O44" s="109">
        <f t="shared" si="9"/>
      </c>
      <c r="P44" s="109">
        <f t="shared" si="10"/>
      </c>
      <c r="Q44" s="109">
        <f t="shared" si="11"/>
      </c>
      <c r="R44" s="109">
        <f t="shared" si="12"/>
      </c>
      <c r="S44" s="109">
        <f t="shared" si="13"/>
      </c>
      <c r="T44" s="109">
        <f t="shared" si="14"/>
      </c>
      <c r="U44" s="130">
        <f t="shared" si="15"/>
      </c>
      <c r="V44" s="118" t="s">
        <v>190</v>
      </c>
      <c r="W44" s="51">
        <f>VLOOKUP($A44,TeamsData!$A$2:$N$99,12,FALSE)</f>
        <v>14</v>
      </c>
      <c r="X44">
        <v>66</v>
      </c>
      <c r="Y44">
        <v>0</v>
      </c>
      <c r="Z44">
        <v>0</v>
      </c>
      <c r="AA44">
        <v>0</v>
      </c>
      <c r="AB44">
        <v>3</v>
      </c>
      <c r="AC44">
        <v>0</v>
      </c>
      <c r="AD44">
        <v>0</v>
      </c>
      <c r="AE44">
        <v>4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</row>
    <row r="45" spans="1:38" ht="13.5" thickBot="1">
      <c r="A45" s="126">
        <v>16</v>
      </c>
      <c r="B45" s="117">
        <f>IF($A45&lt;&gt;$A44,VLOOKUP($A45,TeamsData!$A$2:$N$99,12,FALSE),"")</f>
      </c>
      <c r="C45" s="117">
        <f>IF($A45&lt;&gt;$A44,VLOOKUP($A45,TeamsData!$A$2:$N$99,2,FALSE),"")</f>
      </c>
      <c r="D45" s="117">
        <f>IF($A45&lt;&gt;$A44,VLOOKUP($A45,TeamsData!$A$2:$N$99,3,FALSE),"")</f>
      </c>
      <c r="E45" s="131">
        <v>4</v>
      </c>
      <c r="F45" s="141">
        <v>76</v>
      </c>
      <c r="G45" s="131">
        <f t="shared" si="1"/>
        <v>72</v>
      </c>
      <c r="H45" s="131">
        <f t="shared" si="2"/>
      </c>
      <c r="I45" s="131">
        <f t="shared" si="3"/>
      </c>
      <c r="J45" s="131">
        <f t="shared" si="4"/>
      </c>
      <c r="K45" s="131">
        <f t="shared" si="5"/>
      </c>
      <c r="L45" s="131">
        <f t="shared" si="6"/>
      </c>
      <c r="M45" s="131">
        <f t="shared" si="7"/>
      </c>
      <c r="N45" s="131">
        <f t="shared" si="8"/>
        <v>4</v>
      </c>
      <c r="O45" s="131">
        <f t="shared" si="9"/>
      </c>
      <c r="P45" s="131">
        <f t="shared" si="10"/>
      </c>
      <c r="Q45" s="131">
        <f t="shared" si="11"/>
      </c>
      <c r="R45" s="131">
        <f t="shared" si="12"/>
      </c>
      <c r="S45" s="131">
        <f t="shared" si="13"/>
      </c>
      <c r="T45" s="131">
        <f t="shared" si="14"/>
      </c>
      <c r="U45" s="132">
        <f t="shared" si="15"/>
      </c>
      <c r="V45" s="118" t="s">
        <v>215</v>
      </c>
      <c r="W45" s="51">
        <f>VLOOKUP($A45,TeamsData!$A$2:$N$99,12,FALSE)</f>
        <v>14</v>
      </c>
      <c r="X45">
        <v>72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4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</row>
    <row r="46" spans="1:38" ht="12.75">
      <c r="A46" s="127">
        <v>20</v>
      </c>
      <c r="B46" s="113">
        <f>IF($A46&lt;&gt;$A45,VLOOKUP($A46,TeamsData!$A$2:$N$99,12,FALSE),"")</f>
        <v>15</v>
      </c>
      <c r="C46" s="114">
        <f>IF($A46&lt;&gt;$A45,VLOOKUP($A46,TeamsData!$A$2:$N$99,2,FALSE),"")</f>
        <v>8717</v>
      </c>
      <c r="D46" s="114" t="str">
        <f>IF($A46&lt;&gt;$A45,VLOOKUP($A46,TeamsData!$A$2:$N$99,3,FALSE),"")</f>
        <v>Robotic Ravioli</v>
      </c>
      <c r="E46" s="128">
        <v>1</v>
      </c>
      <c r="F46" s="139">
        <v>83</v>
      </c>
      <c r="G46" s="128">
        <f t="shared" si="1"/>
        <v>72</v>
      </c>
      <c r="H46" s="128">
        <f t="shared" si="2"/>
      </c>
      <c r="I46" s="128">
        <f t="shared" si="3"/>
      </c>
      <c r="J46" s="128">
        <f t="shared" si="4"/>
      </c>
      <c r="K46" s="128">
        <f t="shared" si="5"/>
      </c>
      <c r="L46" s="128">
        <f t="shared" si="6"/>
        <v>7</v>
      </c>
      <c r="M46" s="128">
        <f t="shared" si="7"/>
      </c>
      <c r="N46" s="128">
        <f t="shared" si="8"/>
        <v>4</v>
      </c>
      <c r="O46" s="128">
        <f t="shared" si="9"/>
      </c>
      <c r="P46" s="128">
        <f t="shared" si="10"/>
      </c>
      <c r="Q46" s="128">
        <f t="shared" si="11"/>
      </c>
      <c r="R46" s="128">
        <f t="shared" si="12"/>
      </c>
      <c r="S46" s="128">
        <f t="shared" si="13"/>
      </c>
      <c r="T46" s="128">
        <f t="shared" si="14"/>
      </c>
      <c r="U46" s="129">
        <f t="shared" si="15"/>
      </c>
      <c r="V46" s="118" t="s">
        <v>158</v>
      </c>
      <c r="W46" s="51">
        <f>VLOOKUP($A46,TeamsData!$A$2:$N$99,12,FALSE)</f>
        <v>15</v>
      </c>
      <c r="X46">
        <v>72</v>
      </c>
      <c r="Y46">
        <v>0</v>
      </c>
      <c r="Z46">
        <v>0</v>
      </c>
      <c r="AA46">
        <v>0</v>
      </c>
      <c r="AB46">
        <v>0</v>
      </c>
      <c r="AC46">
        <v>7</v>
      </c>
      <c r="AD46">
        <v>0</v>
      </c>
      <c r="AE46">
        <v>4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</row>
    <row r="47" spans="1:38" ht="12.75">
      <c r="A47" s="110">
        <v>20</v>
      </c>
      <c r="B47" s="115">
        <f>IF($A47&lt;&gt;$A46,VLOOKUP($A47,TeamsData!$A$2:$N$99,12,FALSE),"")</f>
      </c>
      <c r="C47" s="51">
        <f>IF($A47&lt;&gt;$A46,VLOOKUP($A47,TeamsData!$A$2:$N$99,2,FALSE),"")</f>
      </c>
      <c r="D47" s="51">
        <f>IF($A47&lt;&gt;$A46,VLOOKUP($A47,TeamsData!$A$2:$N$99,3,FALSE),"")</f>
      </c>
      <c r="E47" s="109">
        <v>2</v>
      </c>
      <c r="F47" s="140">
        <v>100</v>
      </c>
      <c r="G47" s="109">
        <f t="shared" si="1"/>
        <v>72</v>
      </c>
      <c r="H47" s="109">
        <f t="shared" si="2"/>
      </c>
      <c r="I47" s="109">
        <f t="shared" si="3"/>
      </c>
      <c r="J47" s="109">
        <f t="shared" si="4"/>
      </c>
      <c r="K47" s="109">
        <f t="shared" si="5"/>
      </c>
      <c r="L47" s="109">
        <f t="shared" si="6"/>
        <v>12</v>
      </c>
      <c r="M47" s="109">
        <f t="shared" si="7"/>
      </c>
      <c r="N47" s="109">
        <f t="shared" si="8"/>
        <v>4</v>
      </c>
      <c r="O47" s="109">
        <f t="shared" si="9"/>
        <v>12</v>
      </c>
      <c r="P47" s="109">
        <f t="shared" si="10"/>
      </c>
      <c r="Q47" s="109">
        <f t="shared" si="11"/>
      </c>
      <c r="R47" s="109">
        <f t="shared" si="12"/>
      </c>
      <c r="S47" s="109">
        <f t="shared" si="13"/>
      </c>
      <c r="T47" s="109">
        <f t="shared" si="14"/>
      </c>
      <c r="U47" s="130">
        <f t="shared" si="15"/>
      </c>
      <c r="V47" s="118" t="s">
        <v>183</v>
      </c>
      <c r="W47" s="51">
        <f>VLOOKUP($A47,TeamsData!$A$2:$N$99,12,FALSE)</f>
        <v>15</v>
      </c>
      <c r="X47">
        <v>72</v>
      </c>
      <c r="Y47">
        <v>0</v>
      </c>
      <c r="Z47">
        <v>0</v>
      </c>
      <c r="AA47">
        <v>0</v>
      </c>
      <c r="AB47">
        <v>0</v>
      </c>
      <c r="AC47">
        <v>12</v>
      </c>
      <c r="AD47">
        <v>0</v>
      </c>
      <c r="AE47">
        <v>4</v>
      </c>
      <c r="AF47">
        <v>12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</row>
    <row r="48" spans="1:38" ht="13.5" thickBot="1">
      <c r="A48" s="110">
        <v>20</v>
      </c>
      <c r="B48" s="116">
        <f>IF($A48&lt;&gt;$A47,VLOOKUP($A48,TeamsData!$A$2:$N$99,12,FALSE),"")</f>
      </c>
      <c r="C48" s="117">
        <f>IF($A48&lt;&gt;$A47,VLOOKUP($A48,TeamsData!$A$2:$N$99,2,FALSE),"")</f>
      </c>
      <c r="D48" s="117">
        <f>IF($A48&lt;&gt;$A47,VLOOKUP($A48,TeamsData!$A$2:$N$99,3,FALSE),"")</f>
      </c>
      <c r="E48" s="131">
        <v>3</v>
      </c>
      <c r="F48" s="141">
        <v>79</v>
      </c>
      <c r="G48" s="131">
        <f t="shared" si="1"/>
        <v>66</v>
      </c>
      <c r="H48" s="131">
        <f t="shared" si="2"/>
      </c>
      <c r="I48" s="131">
        <f t="shared" si="3"/>
      </c>
      <c r="J48" s="131">
        <f t="shared" si="4"/>
      </c>
      <c r="K48" s="131">
        <f t="shared" si="5"/>
        <v>9</v>
      </c>
      <c r="L48" s="131">
        <f t="shared" si="6"/>
      </c>
      <c r="M48" s="131">
        <f t="shared" si="7"/>
      </c>
      <c r="N48" s="131">
        <f t="shared" si="8"/>
        <v>4</v>
      </c>
      <c r="O48" s="131">
        <f t="shared" si="9"/>
      </c>
      <c r="P48" s="131">
        <f t="shared" si="10"/>
      </c>
      <c r="Q48" s="131">
        <f t="shared" si="11"/>
      </c>
      <c r="R48" s="131">
        <f t="shared" si="12"/>
      </c>
      <c r="S48" s="131">
        <f t="shared" si="13"/>
      </c>
      <c r="T48" s="131">
        <f t="shared" si="14"/>
      </c>
      <c r="U48" s="132">
        <f t="shared" si="15"/>
      </c>
      <c r="V48" s="118" t="s">
        <v>207</v>
      </c>
      <c r="W48" s="51">
        <f>VLOOKUP($A48,TeamsData!$A$2:$N$99,12,FALSE)</f>
        <v>15</v>
      </c>
      <c r="X48">
        <v>66</v>
      </c>
      <c r="Y48">
        <v>0</v>
      </c>
      <c r="Z48">
        <v>0</v>
      </c>
      <c r="AA48">
        <v>0</v>
      </c>
      <c r="AB48">
        <v>9</v>
      </c>
      <c r="AC48">
        <v>0</v>
      </c>
      <c r="AD48">
        <v>0</v>
      </c>
      <c r="AE48">
        <v>4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</row>
    <row r="49" spans="1:38" ht="12.75">
      <c r="A49" s="110">
        <v>8</v>
      </c>
      <c r="B49" s="113">
        <f>IF($A49&lt;&gt;$A48,VLOOKUP($A49,TeamsData!$A$2:$N$99,12,FALSE),"")</f>
        <v>16</v>
      </c>
      <c r="C49" s="114">
        <f>IF($A49&lt;&gt;$A48,VLOOKUP($A49,TeamsData!$A$2:$N$99,2,FALSE),"")</f>
        <v>6373</v>
      </c>
      <c r="D49" s="114" t="str">
        <f>IF($A49&lt;&gt;$A48,VLOOKUP($A49,TeamsData!$A$2:$N$99,3,FALSE),"")</f>
        <v>Kung Food</v>
      </c>
      <c r="E49" s="128">
        <v>1</v>
      </c>
      <c r="F49" s="139">
        <v>82</v>
      </c>
      <c r="G49" s="128">
        <f t="shared" si="1"/>
        <v>66</v>
      </c>
      <c r="H49" s="128">
        <f t="shared" si="2"/>
      </c>
      <c r="I49" s="128">
        <f t="shared" si="3"/>
      </c>
      <c r="J49" s="128">
        <f t="shared" si="4"/>
      </c>
      <c r="K49" s="128">
        <f t="shared" si="5"/>
      </c>
      <c r="L49" s="128">
        <f t="shared" si="6"/>
        <v>7</v>
      </c>
      <c r="M49" s="128">
        <f t="shared" si="7"/>
        <v>5</v>
      </c>
      <c r="N49" s="128">
        <f t="shared" si="8"/>
        <v>4</v>
      </c>
      <c r="O49" s="128">
        <f t="shared" si="9"/>
      </c>
      <c r="P49" s="128">
        <f t="shared" si="10"/>
      </c>
      <c r="Q49" s="128">
        <f t="shared" si="11"/>
      </c>
      <c r="R49" s="128">
        <f t="shared" si="12"/>
      </c>
      <c r="S49" s="128">
        <f t="shared" si="13"/>
      </c>
      <c r="T49" s="128">
        <f t="shared" si="14"/>
      </c>
      <c r="U49" s="129">
        <f t="shared" si="15"/>
      </c>
      <c r="V49" s="118" t="s">
        <v>142</v>
      </c>
      <c r="W49" s="51">
        <f>VLOOKUP($A49,TeamsData!$A$2:$N$99,12,FALSE)</f>
        <v>16</v>
      </c>
      <c r="X49">
        <v>66</v>
      </c>
      <c r="Y49">
        <v>0</v>
      </c>
      <c r="Z49">
        <v>0</v>
      </c>
      <c r="AA49">
        <v>0</v>
      </c>
      <c r="AB49">
        <v>0</v>
      </c>
      <c r="AC49">
        <v>7</v>
      </c>
      <c r="AD49">
        <v>5</v>
      </c>
      <c r="AE49">
        <v>4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</row>
    <row r="50" spans="1:38" ht="12.75">
      <c r="A50" s="110">
        <v>8</v>
      </c>
      <c r="B50" s="115">
        <f>IF($A50&lt;&gt;$A49,VLOOKUP($A50,TeamsData!$A$2:$N$99,12,FALSE),"")</f>
      </c>
      <c r="C50" s="51">
        <f>IF($A50&lt;&gt;$A49,VLOOKUP($A50,TeamsData!$A$2:$N$99,2,FALSE),"")</f>
      </c>
      <c r="D50" s="51">
        <f>IF($A50&lt;&gt;$A49,VLOOKUP($A50,TeamsData!$A$2:$N$99,3,FALSE),"")</f>
      </c>
      <c r="E50" s="109">
        <v>2</v>
      </c>
      <c r="F50" s="140">
        <v>97</v>
      </c>
      <c r="G50" s="109">
        <f t="shared" si="1"/>
        <v>72</v>
      </c>
      <c r="H50" s="109">
        <f t="shared" si="2"/>
        <v>9</v>
      </c>
      <c r="I50" s="109">
        <f t="shared" si="3"/>
      </c>
      <c r="J50" s="109">
        <f t="shared" si="4"/>
      </c>
      <c r="K50" s="109">
        <f t="shared" si="5"/>
      </c>
      <c r="L50" s="109">
        <f t="shared" si="6"/>
        <v>12</v>
      </c>
      <c r="M50" s="109">
        <f t="shared" si="7"/>
      </c>
      <c r="N50" s="109">
        <f t="shared" si="8"/>
        <v>4</v>
      </c>
      <c r="O50" s="109">
        <f t="shared" si="9"/>
      </c>
      <c r="P50" s="109">
        <f t="shared" si="10"/>
      </c>
      <c r="Q50" s="109">
        <f t="shared" si="11"/>
      </c>
      <c r="R50" s="109">
        <f t="shared" si="12"/>
      </c>
      <c r="S50" s="109">
        <f t="shared" si="13"/>
      </c>
      <c r="T50" s="109">
        <f t="shared" si="14"/>
      </c>
      <c r="U50" s="130">
        <f t="shared" si="15"/>
      </c>
      <c r="V50" s="118" t="s">
        <v>186</v>
      </c>
      <c r="W50" s="51">
        <f>VLOOKUP($A50,TeamsData!$A$2:$N$99,12,FALSE)</f>
        <v>16</v>
      </c>
      <c r="X50">
        <v>72</v>
      </c>
      <c r="Y50">
        <v>9</v>
      </c>
      <c r="Z50">
        <v>0</v>
      </c>
      <c r="AA50">
        <v>0</v>
      </c>
      <c r="AB50">
        <v>0</v>
      </c>
      <c r="AC50">
        <v>12</v>
      </c>
      <c r="AD50">
        <v>0</v>
      </c>
      <c r="AE50">
        <v>4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</row>
    <row r="51" spans="1:38" ht="13.5" thickBot="1">
      <c r="A51" s="110">
        <v>8</v>
      </c>
      <c r="B51" s="116">
        <f>IF($A51&lt;&gt;$A50,VLOOKUP($A51,TeamsData!$A$2:$N$99,12,FALSE),"")</f>
      </c>
      <c r="C51" s="117">
        <f>IF($A51&lt;&gt;$A50,VLOOKUP($A51,TeamsData!$A$2:$N$99,2,FALSE),"")</f>
      </c>
      <c r="D51" s="117">
        <f>IF($A51&lt;&gt;$A50,VLOOKUP($A51,TeamsData!$A$2:$N$99,3,FALSE),"")</f>
      </c>
      <c r="E51" s="131">
        <v>3</v>
      </c>
      <c r="F51" s="141">
        <v>91</v>
      </c>
      <c r="G51" s="131">
        <f t="shared" si="1"/>
        <v>66</v>
      </c>
      <c r="H51" s="131">
        <f t="shared" si="2"/>
        <v>9</v>
      </c>
      <c r="I51" s="131">
        <f t="shared" si="3"/>
      </c>
      <c r="J51" s="131">
        <f t="shared" si="4"/>
      </c>
      <c r="K51" s="131">
        <f t="shared" si="5"/>
      </c>
      <c r="L51" s="131">
        <f t="shared" si="6"/>
        <v>7</v>
      </c>
      <c r="M51" s="131">
        <f t="shared" si="7"/>
        <v>5</v>
      </c>
      <c r="N51" s="131">
        <f t="shared" si="8"/>
        <v>4</v>
      </c>
      <c r="O51" s="131">
        <f t="shared" si="9"/>
      </c>
      <c r="P51" s="131">
        <f t="shared" si="10"/>
      </c>
      <c r="Q51" s="131">
        <f t="shared" si="11"/>
      </c>
      <c r="R51" s="131">
        <f t="shared" si="12"/>
      </c>
      <c r="S51" s="131">
        <f t="shared" si="13"/>
      </c>
      <c r="T51" s="131">
        <f t="shared" si="14"/>
      </c>
      <c r="U51" s="132">
        <f t="shared" si="15"/>
      </c>
      <c r="V51" s="118" t="s">
        <v>209</v>
      </c>
      <c r="W51" s="51">
        <f>VLOOKUP($A51,TeamsData!$A$2:$N$99,12,FALSE)</f>
        <v>16</v>
      </c>
      <c r="X51">
        <v>66</v>
      </c>
      <c r="Y51">
        <v>9</v>
      </c>
      <c r="Z51">
        <v>0</v>
      </c>
      <c r="AA51">
        <v>0</v>
      </c>
      <c r="AB51">
        <v>0</v>
      </c>
      <c r="AC51">
        <v>7</v>
      </c>
      <c r="AD51">
        <v>5</v>
      </c>
      <c r="AE51">
        <v>4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</row>
    <row r="52" spans="1:38" ht="12.75">
      <c r="A52" s="110">
        <v>21</v>
      </c>
      <c r="B52" s="113">
        <f>IF($A52&lt;&gt;$A51,VLOOKUP($A52,TeamsData!$A$2:$N$99,12,FALSE),"")</f>
        <v>17</v>
      </c>
      <c r="C52" s="114">
        <f>IF($A52&lt;&gt;$A51,VLOOKUP($A52,TeamsData!$A$2:$N$99,2,FALSE),"")</f>
        <v>6949</v>
      </c>
      <c r="D52" s="114" t="str">
        <f>IF($A52&lt;&gt;$A51,VLOOKUP($A52,TeamsData!$A$2:$N$99,3,FALSE),"")</f>
        <v>SAP Explorers</v>
      </c>
      <c r="E52" s="128">
        <v>1</v>
      </c>
      <c r="F52" s="139">
        <v>75</v>
      </c>
      <c r="G52" s="128">
        <f t="shared" si="1"/>
        <v>48</v>
      </c>
      <c r="H52" s="128">
        <f t="shared" si="2"/>
      </c>
      <c r="I52" s="128">
        <f t="shared" si="3"/>
      </c>
      <c r="J52" s="128">
        <f t="shared" si="4"/>
      </c>
      <c r="K52" s="128">
        <f t="shared" si="5"/>
      </c>
      <c r="L52" s="128">
        <f t="shared" si="6"/>
        <v>14</v>
      </c>
      <c r="M52" s="128">
        <f t="shared" si="7"/>
        <v>5</v>
      </c>
      <c r="N52" s="128">
        <f t="shared" si="8"/>
        <v>8</v>
      </c>
      <c r="O52" s="128">
        <f t="shared" si="9"/>
      </c>
      <c r="P52" s="128">
        <f t="shared" si="10"/>
      </c>
      <c r="Q52" s="128">
        <f t="shared" si="11"/>
      </c>
      <c r="R52" s="128">
        <f t="shared" si="12"/>
      </c>
      <c r="S52" s="128">
        <f t="shared" si="13"/>
      </c>
      <c r="T52" s="128">
        <f t="shared" si="14"/>
      </c>
      <c r="U52" s="129">
        <f t="shared" si="15"/>
      </c>
      <c r="V52" s="118" t="s">
        <v>166</v>
      </c>
      <c r="W52" s="51">
        <f>VLOOKUP($A52,TeamsData!$A$2:$N$99,12,FALSE)</f>
        <v>17</v>
      </c>
      <c r="X52">
        <v>48</v>
      </c>
      <c r="Y52">
        <v>0</v>
      </c>
      <c r="Z52">
        <v>0</v>
      </c>
      <c r="AA52">
        <v>0</v>
      </c>
      <c r="AB52">
        <v>0</v>
      </c>
      <c r="AC52">
        <v>14</v>
      </c>
      <c r="AD52">
        <v>5</v>
      </c>
      <c r="AE52">
        <v>8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</row>
    <row r="53" spans="1:38" ht="13.5" thickBot="1">
      <c r="A53" s="110">
        <v>21</v>
      </c>
      <c r="B53" s="116">
        <f>IF($A53&lt;&gt;$A52,VLOOKUP($A53,TeamsData!$A$2:$N$99,12,FALSE),"")</f>
      </c>
      <c r="C53" s="117">
        <f>IF($A53&lt;&gt;$A52,VLOOKUP($A53,TeamsData!$A$2:$N$99,2,FALSE),"")</f>
      </c>
      <c r="D53" s="117">
        <f>IF($A53&lt;&gt;$A52,VLOOKUP($A53,TeamsData!$A$2:$N$99,3,FALSE),"")</f>
      </c>
      <c r="E53" s="131">
        <v>2</v>
      </c>
      <c r="F53" s="141">
        <v>96</v>
      </c>
      <c r="G53" s="131">
        <f t="shared" si="1"/>
        <v>72</v>
      </c>
      <c r="H53" s="131">
        <f t="shared" si="2"/>
      </c>
      <c r="I53" s="131">
        <f t="shared" si="3"/>
        <v>15</v>
      </c>
      <c r="J53" s="131">
        <f t="shared" si="4"/>
      </c>
      <c r="K53" s="131">
        <f t="shared" si="5"/>
      </c>
      <c r="L53" s="131">
        <f t="shared" si="6"/>
      </c>
      <c r="M53" s="131">
        <f t="shared" si="7"/>
        <v>5</v>
      </c>
      <c r="N53" s="131">
        <f t="shared" si="8"/>
        <v>4</v>
      </c>
      <c r="O53" s="131">
        <f t="shared" si="9"/>
      </c>
      <c r="P53" s="131">
        <f t="shared" si="10"/>
      </c>
      <c r="Q53" s="131">
        <f t="shared" si="11"/>
      </c>
      <c r="R53" s="131">
        <f t="shared" si="12"/>
      </c>
      <c r="S53" s="131">
        <f t="shared" si="13"/>
      </c>
      <c r="T53" s="131">
        <f t="shared" si="14"/>
      </c>
      <c r="U53" s="132">
        <f t="shared" si="15"/>
      </c>
      <c r="V53" s="118" t="s">
        <v>189</v>
      </c>
      <c r="W53" s="51">
        <f>VLOOKUP($A53,TeamsData!$A$2:$N$99,12,FALSE)</f>
        <v>17</v>
      </c>
      <c r="X53">
        <v>72</v>
      </c>
      <c r="Y53">
        <v>0</v>
      </c>
      <c r="Z53">
        <v>15</v>
      </c>
      <c r="AA53">
        <v>0</v>
      </c>
      <c r="AB53">
        <v>0</v>
      </c>
      <c r="AC53">
        <v>0</v>
      </c>
      <c r="AD53">
        <v>5</v>
      </c>
      <c r="AE53">
        <v>4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</row>
    <row r="54" spans="1:38" ht="12.75">
      <c r="A54" s="110">
        <v>18</v>
      </c>
      <c r="B54" s="113">
        <f>IF($A54&lt;&gt;$A53,VLOOKUP($A54,TeamsData!$A$2:$N$99,12,FALSE),"")</f>
        <v>18</v>
      </c>
      <c r="C54" s="114">
        <f>IF($A54&lt;&gt;$A53,VLOOKUP($A54,TeamsData!$A$2:$N$99,2,FALSE),"")</f>
        <v>7171</v>
      </c>
      <c r="D54" s="114" t="str">
        <f>IF($A54&lt;&gt;$A53,VLOOKUP($A54,TeamsData!$A$2:$N$99,3,FALSE),"")</f>
        <v>robokids</v>
      </c>
      <c r="E54" s="128">
        <v>1</v>
      </c>
      <c r="F54" s="139">
        <v>93</v>
      </c>
      <c r="G54" s="128">
        <f t="shared" si="1"/>
        <v>60</v>
      </c>
      <c r="H54" s="128">
        <f t="shared" si="2"/>
      </c>
      <c r="I54" s="128">
        <f t="shared" si="3"/>
      </c>
      <c r="J54" s="128">
        <f t="shared" si="4"/>
      </c>
      <c r="K54" s="128">
        <f t="shared" si="5"/>
        <v>6</v>
      </c>
      <c r="L54" s="128">
        <f t="shared" si="6"/>
        <v>7</v>
      </c>
      <c r="M54" s="128">
        <f t="shared" si="7"/>
      </c>
      <c r="N54" s="128">
        <f t="shared" si="8"/>
        <v>8</v>
      </c>
      <c r="O54" s="128">
        <f t="shared" si="9"/>
      </c>
      <c r="P54" s="128">
        <f t="shared" si="10"/>
      </c>
      <c r="Q54" s="128">
        <f t="shared" si="11"/>
      </c>
      <c r="R54" s="128">
        <f t="shared" si="12"/>
      </c>
      <c r="S54" s="128">
        <f t="shared" si="13"/>
      </c>
      <c r="T54" s="128">
        <f t="shared" si="14"/>
        <v>12</v>
      </c>
      <c r="U54" s="129">
        <f t="shared" si="15"/>
      </c>
      <c r="V54" s="119" t="s">
        <v>153</v>
      </c>
      <c r="W54" s="51">
        <f>VLOOKUP($A54,TeamsData!$A$2:$N$99,12,FALSE)</f>
        <v>18</v>
      </c>
      <c r="X54">
        <v>60</v>
      </c>
      <c r="Y54">
        <v>0</v>
      </c>
      <c r="Z54">
        <v>0</v>
      </c>
      <c r="AA54">
        <v>0</v>
      </c>
      <c r="AB54">
        <v>6</v>
      </c>
      <c r="AC54">
        <v>7</v>
      </c>
      <c r="AD54">
        <v>0</v>
      </c>
      <c r="AE54">
        <v>8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12</v>
      </c>
      <c r="AL54">
        <v>0</v>
      </c>
    </row>
    <row r="55" spans="1:38" ht="12.75">
      <c r="A55" s="110">
        <v>18</v>
      </c>
      <c r="B55" s="115">
        <f>IF($A55&lt;&gt;$A54,VLOOKUP($A55,TeamsData!$A$2:$N$99,12,FALSE),"")</f>
      </c>
      <c r="C55" s="51">
        <f>IF($A55&lt;&gt;$A54,VLOOKUP($A55,TeamsData!$A$2:$N$99,2,FALSE),"")</f>
      </c>
      <c r="D55" s="51">
        <f>IF($A55&lt;&gt;$A54,VLOOKUP($A55,TeamsData!$A$2:$N$99,3,FALSE),"")</f>
      </c>
      <c r="E55" s="109">
        <v>2</v>
      </c>
      <c r="F55" s="140">
        <v>87</v>
      </c>
      <c r="G55" s="109">
        <f t="shared" si="1"/>
        <v>66</v>
      </c>
      <c r="H55" s="109">
        <f t="shared" si="2"/>
      </c>
      <c r="I55" s="109">
        <f t="shared" si="3"/>
      </c>
      <c r="J55" s="109">
        <f t="shared" si="4"/>
      </c>
      <c r="K55" s="109">
        <f t="shared" si="5"/>
      </c>
      <c r="L55" s="109">
        <f t="shared" si="6"/>
        <v>7</v>
      </c>
      <c r="M55" s="109">
        <f t="shared" si="7"/>
      </c>
      <c r="N55" s="109">
        <f t="shared" si="8"/>
        <v>4</v>
      </c>
      <c r="O55" s="109">
        <f t="shared" si="9"/>
      </c>
      <c r="P55" s="109">
        <f t="shared" si="10"/>
      </c>
      <c r="Q55" s="109">
        <f t="shared" si="11"/>
      </c>
      <c r="R55" s="109">
        <f t="shared" si="12"/>
      </c>
      <c r="S55" s="109">
        <f t="shared" si="13"/>
      </c>
      <c r="T55" s="109">
        <f t="shared" si="14"/>
        <v>10</v>
      </c>
      <c r="U55" s="130">
        <f t="shared" si="15"/>
      </c>
      <c r="V55" s="118" t="s">
        <v>188</v>
      </c>
      <c r="W55" s="51">
        <f>VLOOKUP($A55,TeamsData!$A$2:$N$99,12,FALSE)</f>
        <v>18</v>
      </c>
      <c r="X55">
        <v>66</v>
      </c>
      <c r="Y55">
        <v>0</v>
      </c>
      <c r="Z55">
        <v>0</v>
      </c>
      <c r="AA55">
        <v>0</v>
      </c>
      <c r="AB55">
        <v>0</v>
      </c>
      <c r="AC55">
        <v>7</v>
      </c>
      <c r="AD55">
        <v>0</v>
      </c>
      <c r="AE55">
        <v>4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10</v>
      </c>
      <c r="AL55">
        <v>0</v>
      </c>
    </row>
    <row r="56" spans="1:38" ht="13.5" thickBot="1">
      <c r="A56" s="110">
        <v>18</v>
      </c>
      <c r="B56" s="116">
        <f>IF($A56&lt;&gt;$A55,VLOOKUP($A56,TeamsData!$A$2:$N$99,12,FALSE),"")</f>
      </c>
      <c r="C56" s="117">
        <f>IF($A56&lt;&gt;$A55,VLOOKUP($A56,TeamsData!$A$2:$N$99,2,FALSE),"")</f>
      </c>
      <c r="D56" s="117">
        <f>IF($A56&lt;&gt;$A55,VLOOKUP($A56,TeamsData!$A$2:$N$99,3,FALSE),"")</f>
      </c>
      <c r="E56" s="131">
        <v>3</v>
      </c>
      <c r="F56" s="141">
        <v>86</v>
      </c>
      <c r="G56" s="131">
        <f t="shared" si="1"/>
        <v>60</v>
      </c>
      <c r="H56" s="131">
        <f t="shared" si="2"/>
      </c>
      <c r="I56" s="131">
        <f t="shared" si="3"/>
      </c>
      <c r="J56" s="131">
        <f t="shared" si="4"/>
      </c>
      <c r="K56" s="131">
        <f t="shared" si="5"/>
        <v>9</v>
      </c>
      <c r="L56" s="131">
        <f t="shared" si="6"/>
      </c>
      <c r="M56" s="131">
        <f t="shared" si="7"/>
      </c>
      <c r="N56" s="131">
        <f t="shared" si="8"/>
        <v>8</v>
      </c>
      <c r="O56" s="131">
        <f t="shared" si="9"/>
      </c>
      <c r="P56" s="131">
        <f t="shared" si="10"/>
      </c>
      <c r="Q56" s="131">
        <f t="shared" si="11"/>
      </c>
      <c r="R56" s="131">
        <f t="shared" si="12"/>
      </c>
      <c r="S56" s="131">
        <f t="shared" si="13"/>
      </c>
      <c r="T56" s="131">
        <f t="shared" si="14"/>
      </c>
      <c r="U56" s="132">
        <f t="shared" si="15"/>
        <v>9</v>
      </c>
      <c r="V56" s="118" t="s">
        <v>205</v>
      </c>
      <c r="W56" s="51">
        <f>VLOOKUP($A56,TeamsData!$A$2:$N$99,12,FALSE)</f>
        <v>18</v>
      </c>
      <c r="X56">
        <v>60</v>
      </c>
      <c r="Y56">
        <v>0</v>
      </c>
      <c r="Z56">
        <v>0</v>
      </c>
      <c r="AA56">
        <v>0</v>
      </c>
      <c r="AB56">
        <v>9</v>
      </c>
      <c r="AC56">
        <v>0</v>
      </c>
      <c r="AD56">
        <v>0</v>
      </c>
      <c r="AE56">
        <v>8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9</v>
      </c>
    </row>
    <row r="57" spans="1:38" ht="12.75">
      <c r="A57" s="110">
        <v>26</v>
      </c>
      <c r="B57" s="113">
        <f>IF($A57&lt;&gt;$A56,VLOOKUP($A57,TeamsData!$A$2:$N$99,12,FALSE),"")</f>
        <v>19</v>
      </c>
      <c r="C57" s="114">
        <f>IF($A57&lt;&gt;$A56,VLOOKUP($A57,TeamsData!$A$2:$N$99,2,FALSE),"")</f>
        <v>9663</v>
      </c>
      <c r="D57" s="114" t="str">
        <f>IF($A57&lt;&gt;$A56,VLOOKUP($A57,TeamsData!$A$2:$N$99,3,FALSE),"")</f>
        <v>Xtreme Creators</v>
      </c>
      <c r="E57" s="128">
        <v>1</v>
      </c>
      <c r="F57" s="139">
        <v>80</v>
      </c>
      <c r="G57" s="128">
        <f t="shared" si="1"/>
        <v>48</v>
      </c>
      <c r="H57" s="128">
        <f t="shared" si="2"/>
      </c>
      <c r="I57" s="128">
        <f t="shared" si="3"/>
      </c>
      <c r="J57" s="128">
        <f t="shared" si="4"/>
      </c>
      <c r="K57" s="128">
        <f t="shared" si="5"/>
        <v>3</v>
      </c>
      <c r="L57" s="128">
        <f t="shared" si="6"/>
      </c>
      <c r="M57" s="128">
        <f t="shared" si="7"/>
        <v>5</v>
      </c>
      <c r="N57" s="128">
        <f t="shared" si="8"/>
        <v>4</v>
      </c>
      <c r="O57" s="128">
        <f t="shared" si="9"/>
        <v>20</v>
      </c>
      <c r="P57" s="128">
        <f t="shared" si="10"/>
      </c>
      <c r="Q57" s="128">
        <f t="shared" si="11"/>
      </c>
      <c r="R57" s="128">
        <f t="shared" si="12"/>
      </c>
      <c r="S57" s="128">
        <f t="shared" si="13"/>
      </c>
      <c r="T57" s="128">
        <f t="shared" si="14"/>
      </c>
      <c r="U57" s="129">
        <f t="shared" si="15"/>
      </c>
      <c r="V57" s="119" t="s">
        <v>145</v>
      </c>
      <c r="W57" s="51">
        <f>VLOOKUP($A57,TeamsData!$A$2:$N$99,12,FALSE)</f>
        <v>19</v>
      </c>
      <c r="X57">
        <v>48</v>
      </c>
      <c r="Y57">
        <v>0</v>
      </c>
      <c r="Z57">
        <v>0</v>
      </c>
      <c r="AA57">
        <v>0</v>
      </c>
      <c r="AB57">
        <v>3</v>
      </c>
      <c r="AC57">
        <v>0</v>
      </c>
      <c r="AD57">
        <v>5</v>
      </c>
      <c r="AE57">
        <v>4</v>
      </c>
      <c r="AF57">
        <v>20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</row>
    <row r="58" spans="1:38" ht="12.75">
      <c r="A58" s="110">
        <v>26</v>
      </c>
      <c r="B58" s="115">
        <f>IF($A58&lt;&gt;$A57,VLOOKUP($A58,TeamsData!$A$2:$N$99,12,FALSE),"")</f>
      </c>
      <c r="C58" s="51">
        <f>IF($A58&lt;&gt;$A57,VLOOKUP($A58,TeamsData!$A$2:$N$99,2,FALSE),"")</f>
      </c>
      <c r="D58" s="51">
        <f>IF($A58&lt;&gt;$A57,VLOOKUP($A58,TeamsData!$A$2:$N$99,3,FALSE),"")</f>
      </c>
      <c r="E58" s="109">
        <v>2</v>
      </c>
      <c r="F58" s="140">
        <v>76</v>
      </c>
      <c r="G58" s="109">
        <f t="shared" si="1"/>
        <v>60</v>
      </c>
      <c r="H58" s="109">
        <f t="shared" si="2"/>
      </c>
      <c r="I58" s="109">
        <f t="shared" si="3"/>
      </c>
      <c r="J58" s="109">
        <f t="shared" si="4"/>
      </c>
      <c r="K58" s="109">
        <f t="shared" si="5"/>
        <v>3</v>
      </c>
      <c r="L58" s="109">
        <f t="shared" si="6"/>
      </c>
      <c r="M58" s="109">
        <f t="shared" si="7"/>
        <v>5</v>
      </c>
      <c r="N58" s="109">
        <f t="shared" si="8"/>
        <v>8</v>
      </c>
      <c r="O58" s="109">
        <f t="shared" si="9"/>
      </c>
      <c r="P58" s="109">
        <f t="shared" si="10"/>
      </c>
      <c r="Q58" s="109">
        <f t="shared" si="11"/>
      </c>
      <c r="R58" s="109">
        <f t="shared" si="12"/>
      </c>
      <c r="S58" s="109">
        <f t="shared" si="13"/>
      </c>
      <c r="T58" s="109">
        <f t="shared" si="14"/>
      </c>
      <c r="U58" s="130">
        <f t="shared" si="15"/>
      </c>
      <c r="V58" s="118" t="s">
        <v>167</v>
      </c>
      <c r="W58" s="51">
        <f>VLOOKUP($A58,TeamsData!$A$2:$N$99,12,FALSE)</f>
        <v>19</v>
      </c>
      <c r="X58">
        <v>60</v>
      </c>
      <c r="Y58">
        <v>0</v>
      </c>
      <c r="Z58">
        <v>0</v>
      </c>
      <c r="AA58">
        <v>0</v>
      </c>
      <c r="AB58">
        <v>3</v>
      </c>
      <c r="AC58">
        <v>0</v>
      </c>
      <c r="AD58">
        <v>5</v>
      </c>
      <c r="AE58">
        <v>8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</row>
    <row r="59" spans="1:38" ht="12.75">
      <c r="A59" s="110">
        <v>26</v>
      </c>
      <c r="B59" s="115">
        <f>IF($A59&lt;&gt;$A58,VLOOKUP($A59,TeamsData!$A$2:$N$99,12,FALSE),"")</f>
      </c>
      <c r="C59" s="51">
        <f>IF($A59&lt;&gt;$A58,VLOOKUP($A59,TeamsData!$A$2:$N$99,2,FALSE),"")</f>
      </c>
      <c r="D59" s="51">
        <f>IF($A59&lt;&gt;$A58,VLOOKUP($A59,TeamsData!$A$2:$N$99,3,FALSE),"")</f>
      </c>
      <c r="E59" s="109">
        <v>3</v>
      </c>
      <c r="F59" s="140">
        <v>76</v>
      </c>
      <c r="G59" s="109">
        <f t="shared" si="1"/>
        <v>60</v>
      </c>
      <c r="H59" s="109">
        <f t="shared" si="2"/>
      </c>
      <c r="I59" s="109">
        <f t="shared" si="3"/>
      </c>
      <c r="J59" s="109">
        <f t="shared" si="4"/>
      </c>
      <c r="K59" s="109">
        <f t="shared" si="5"/>
        <v>3</v>
      </c>
      <c r="L59" s="109">
        <f t="shared" si="6"/>
      </c>
      <c r="M59" s="109">
        <f t="shared" si="7"/>
      </c>
      <c r="N59" s="109">
        <f t="shared" si="8"/>
        <v>4</v>
      </c>
      <c r="O59" s="109">
        <f t="shared" si="9"/>
      </c>
      <c r="P59" s="109">
        <f t="shared" si="10"/>
      </c>
      <c r="Q59" s="109">
        <f t="shared" si="11"/>
      </c>
      <c r="R59" s="109">
        <f t="shared" si="12"/>
      </c>
      <c r="S59" s="109">
        <f t="shared" si="13"/>
      </c>
      <c r="T59" s="109">
        <f t="shared" si="14"/>
      </c>
      <c r="U59" s="130">
        <f t="shared" si="15"/>
        <v>9</v>
      </c>
      <c r="V59" s="118" t="s">
        <v>192</v>
      </c>
      <c r="W59" s="51">
        <f>VLOOKUP($A59,TeamsData!$A$2:$N$99,12,FALSE)</f>
        <v>19</v>
      </c>
      <c r="X59">
        <v>60</v>
      </c>
      <c r="Y59">
        <v>0</v>
      </c>
      <c r="Z59">
        <v>0</v>
      </c>
      <c r="AA59">
        <v>0</v>
      </c>
      <c r="AB59">
        <v>3</v>
      </c>
      <c r="AC59">
        <v>0</v>
      </c>
      <c r="AD59">
        <v>0</v>
      </c>
      <c r="AE59">
        <v>4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9</v>
      </c>
    </row>
    <row r="60" spans="1:38" ht="13.5" thickBot="1">
      <c r="A60" s="110">
        <v>26</v>
      </c>
      <c r="B60" s="116">
        <f>IF($A60&lt;&gt;$A59,VLOOKUP($A60,TeamsData!$A$2:$N$99,12,FALSE),"")</f>
      </c>
      <c r="C60" s="117">
        <f>IF($A60&lt;&gt;$A59,VLOOKUP($A60,TeamsData!$A$2:$N$99,2,FALSE),"")</f>
      </c>
      <c r="D60" s="117">
        <f>IF($A60&lt;&gt;$A59,VLOOKUP($A60,TeamsData!$A$2:$N$99,3,FALSE),"")</f>
      </c>
      <c r="E60" s="131">
        <v>4</v>
      </c>
      <c r="F60" s="141">
        <v>93</v>
      </c>
      <c r="G60" s="131">
        <f t="shared" si="1"/>
        <v>72</v>
      </c>
      <c r="H60" s="131">
        <f t="shared" si="2"/>
      </c>
      <c r="I60" s="131">
        <f t="shared" si="3"/>
      </c>
      <c r="J60" s="131">
        <f t="shared" si="4"/>
      </c>
      <c r="K60" s="131">
        <f t="shared" si="5"/>
        <v>3</v>
      </c>
      <c r="L60" s="131">
        <f t="shared" si="6"/>
      </c>
      <c r="M60" s="131">
        <f t="shared" si="7"/>
        <v>5</v>
      </c>
      <c r="N60" s="131">
        <f t="shared" si="8"/>
        <v>4</v>
      </c>
      <c r="O60" s="131">
        <f t="shared" si="9"/>
      </c>
      <c r="P60" s="131">
        <f t="shared" si="10"/>
      </c>
      <c r="Q60" s="131">
        <f t="shared" si="11"/>
      </c>
      <c r="R60" s="131">
        <f t="shared" si="12"/>
      </c>
      <c r="S60" s="131">
        <f t="shared" si="13"/>
      </c>
      <c r="T60" s="131">
        <f t="shared" si="14"/>
      </c>
      <c r="U60" s="132">
        <f t="shared" si="15"/>
        <v>9</v>
      </c>
      <c r="V60" s="118" t="s">
        <v>203</v>
      </c>
      <c r="W60" s="51">
        <f>VLOOKUP($A60,TeamsData!$A$2:$N$99,12,FALSE)</f>
        <v>19</v>
      </c>
      <c r="X60">
        <v>72</v>
      </c>
      <c r="Y60">
        <v>0</v>
      </c>
      <c r="Z60">
        <v>0</v>
      </c>
      <c r="AA60">
        <v>0</v>
      </c>
      <c r="AB60">
        <v>3</v>
      </c>
      <c r="AC60">
        <v>0</v>
      </c>
      <c r="AD60">
        <v>5</v>
      </c>
      <c r="AE60">
        <v>4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9</v>
      </c>
    </row>
    <row r="61" spans="1:38" ht="12.75">
      <c r="A61" s="110">
        <v>6</v>
      </c>
      <c r="B61" s="113">
        <f>IF($A61&lt;&gt;$A60,VLOOKUP($A61,TeamsData!$A$2:$N$99,12,FALSE),"")</f>
        <v>20</v>
      </c>
      <c r="C61" s="114">
        <f>IF($A61&lt;&gt;$A60,VLOOKUP($A61,TeamsData!$A$2:$N$99,2,FALSE),"")</f>
        <v>3927</v>
      </c>
      <c r="D61" s="114" t="str">
        <f>IF($A61&lt;&gt;$A60,VLOOKUP($A61,TeamsData!$A$2:$N$99,3,FALSE),"")</f>
        <v>Hazardous Waste</v>
      </c>
      <c r="E61" s="128">
        <v>1</v>
      </c>
      <c r="F61" s="139">
        <v>93</v>
      </c>
      <c r="G61" s="128">
        <f t="shared" si="1"/>
        <v>54</v>
      </c>
      <c r="H61" s="128">
        <f t="shared" si="2"/>
      </c>
      <c r="I61" s="128">
        <f t="shared" si="3"/>
        <v>15</v>
      </c>
      <c r="J61" s="128">
        <f t="shared" si="4"/>
      </c>
      <c r="K61" s="128">
        <f t="shared" si="5"/>
      </c>
      <c r="L61" s="128">
        <f t="shared" si="6"/>
        <v>7</v>
      </c>
      <c r="M61" s="128">
        <f t="shared" si="7"/>
      </c>
      <c r="N61" s="128">
        <f t="shared" si="8"/>
        <v>8</v>
      </c>
      <c r="O61" s="128">
        <f t="shared" si="9"/>
      </c>
      <c r="P61" s="128">
        <f t="shared" si="10"/>
      </c>
      <c r="Q61" s="128">
        <f t="shared" si="11"/>
      </c>
      <c r="R61" s="128">
        <f t="shared" si="12"/>
      </c>
      <c r="S61" s="128">
        <f t="shared" si="13"/>
      </c>
      <c r="T61" s="128">
        <f t="shared" si="14"/>
      </c>
      <c r="U61" s="129">
        <f t="shared" si="15"/>
        <v>9</v>
      </c>
      <c r="V61" s="118" t="s">
        <v>159</v>
      </c>
      <c r="W61" s="51">
        <f>VLOOKUP($A61,TeamsData!$A$2:$N$99,12,FALSE)</f>
        <v>20</v>
      </c>
      <c r="X61">
        <v>54</v>
      </c>
      <c r="Y61">
        <v>0</v>
      </c>
      <c r="Z61">
        <v>15</v>
      </c>
      <c r="AA61">
        <v>0</v>
      </c>
      <c r="AB61">
        <v>0</v>
      </c>
      <c r="AC61">
        <v>7</v>
      </c>
      <c r="AD61">
        <v>0</v>
      </c>
      <c r="AE61">
        <v>8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9</v>
      </c>
    </row>
    <row r="62" spans="1:38" ht="12.75">
      <c r="A62" s="110">
        <v>6</v>
      </c>
      <c r="B62" s="115">
        <f>IF($A62&lt;&gt;$A61,VLOOKUP($A62,TeamsData!$A$2:$N$99,12,FALSE),"")</f>
      </c>
      <c r="C62" s="51">
        <f>IF($A62&lt;&gt;$A61,VLOOKUP($A62,TeamsData!$A$2:$N$99,2,FALSE),"")</f>
      </c>
      <c r="D62" s="51">
        <f>IF($A62&lt;&gt;$A61,VLOOKUP($A62,TeamsData!$A$2:$N$99,3,FALSE),"")</f>
      </c>
      <c r="E62" s="109">
        <v>2</v>
      </c>
      <c r="F62" s="140">
        <v>64</v>
      </c>
      <c r="G62" s="109">
        <f t="shared" si="1"/>
        <v>54</v>
      </c>
      <c r="H62" s="109">
        <f t="shared" si="2"/>
      </c>
      <c r="I62" s="109">
        <f t="shared" si="3"/>
      </c>
      <c r="J62" s="109">
        <f t="shared" si="4"/>
      </c>
      <c r="K62" s="109">
        <f t="shared" si="5"/>
        <v>3</v>
      </c>
      <c r="L62" s="109">
        <f t="shared" si="6"/>
        <v>7</v>
      </c>
      <c r="M62" s="109">
        <f t="shared" si="7"/>
      </c>
      <c r="N62" s="109">
        <f t="shared" si="8"/>
      </c>
      <c r="O62" s="109">
        <f t="shared" si="9"/>
      </c>
      <c r="P62" s="109">
        <f t="shared" si="10"/>
      </c>
      <c r="Q62" s="109">
        <f t="shared" si="11"/>
      </c>
      <c r="R62" s="109">
        <f t="shared" si="12"/>
      </c>
      <c r="S62" s="109">
        <f t="shared" si="13"/>
      </c>
      <c r="T62" s="109">
        <f t="shared" si="14"/>
      </c>
      <c r="U62" s="130">
        <f t="shared" si="15"/>
      </c>
      <c r="V62" s="118" t="s">
        <v>181</v>
      </c>
      <c r="W62" s="51">
        <f>VLOOKUP($A62,TeamsData!$A$2:$N$99,12,FALSE)</f>
        <v>20</v>
      </c>
      <c r="X62">
        <v>54</v>
      </c>
      <c r="Y62">
        <v>0</v>
      </c>
      <c r="Z62">
        <v>0</v>
      </c>
      <c r="AA62">
        <v>0</v>
      </c>
      <c r="AB62">
        <v>3</v>
      </c>
      <c r="AC62">
        <v>7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</row>
    <row r="63" spans="1:38" ht="13.5" thickBot="1">
      <c r="A63" s="110">
        <v>6</v>
      </c>
      <c r="B63" s="116">
        <f>IF($A63&lt;&gt;$A62,VLOOKUP($A63,TeamsData!$A$2:$N$99,12,FALSE),"")</f>
      </c>
      <c r="C63" s="117">
        <f>IF($A63&lt;&gt;$A62,VLOOKUP($A63,TeamsData!$A$2:$N$99,2,FALSE),"")</f>
      </c>
      <c r="D63" s="117">
        <f>IF($A63&lt;&gt;$A62,VLOOKUP($A63,TeamsData!$A$2:$N$99,3,FALSE),"")</f>
      </c>
      <c r="E63" s="131">
        <v>3</v>
      </c>
      <c r="F63" s="141">
        <v>80</v>
      </c>
      <c r="G63" s="131">
        <f t="shared" si="1"/>
        <v>54</v>
      </c>
      <c r="H63" s="131">
        <f t="shared" si="2"/>
      </c>
      <c r="I63" s="131">
        <f t="shared" si="3"/>
        <v>15</v>
      </c>
      <c r="J63" s="131">
        <f t="shared" si="4"/>
      </c>
      <c r="K63" s="131">
        <f t="shared" si="5"/>
      </c>
      <c r="L63" s="131">
        <f t="shared" si="6"/>
        <v>7</v>
      </c>
      <c r="M63" s="131">
        <f t="shared" si="7"/>
      </c>
      <c r="N63" s="131">
        <f t="shared" si="8"/>
        <v>4</v>
      </c>
      <c r="O63" s="131">
        <f t="shared" si="9"/>
      </c>
      <c r="P63" s="131">
        <f t="shared" si="10"/>
      </c>
      <c r="Q63" s="131">
        <f t="shared" si="11"/>
      </c>
      <c r="R63" s="131">
        <f t="shared" si="12"/>
      </c>
      <c r="S63" s="131">
        <f t="shared" si="13"/>
      </c>
      <c r="T63" s="131">
        <f t="shared" si="14"/>
      </c>
      <c r="U63" s="132">
        <f t="shared" si="15"/>
      </c>
      <c r="V63" s="118" t="s">
        <v>206</v>
      </c>
      <c r="W63" s="51">
        <f>VLOOKUP($A63,TeamsData!$A$2:$N$99,12,FALSE)</f>
        <v>20</v>
      </c>
      <c r="X63">
        <v>54</v>
      </c>
      <c r="Y63">
        <v>0</v>
      </c>
      <c r="Z63">
        <v>15</v>
      </c>
      <c r="AA63">
        <v>0</v>
      </c>
      <c r="AB63">
        <v>0</v>
      </c>
      <c r="AC63">
        <v>7</v>
      </c>
      <c r="AD63">
        <v>0</v>
      </c>
      <c r="AE63">
        <v>4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</row>
    <row r="64" spans="1:38" ht="12.75">
      <c r="A64" s="110">
        <v>11</v>
      </c>
      <c r="B64" s="113">
        <f>IF($A64&lt;&gt;$A63,VLOOKUP($A64,TeamsData!$A$2:$N$99,12,FALSE),"")</f>
        <v>21</v>
      </c>
      <c r="C64" s="114">
        <f>IF($A64&lt;&gt;$A63,VLOOKUP($A64,TeamsData!$A$2:$N$99,2,FALSE),"")</f>
        <v>3583</v>
      </c>
      <c r="D64" s="114" t="str">
        <f>IF($A64&lt;&gt;$A63,VLOOKUP($A64,TeamsData!$A$2:$N$99,3,FALSE),"")</f>
        <v>Mat Scientists</v>
      </c>
      <c r="E64" s="128">
        <v>1</v>
      </c>
      <c r="F64" s="139">
        <v>87</v>
      </c>
      <c r="G64" s="128">
        <f t="shared" si="1"/>
        <v>72</v>
      </c>
      <c r="H64" s="128">
        <f t="shared" si="2"/>
      </c>
      <c r="I64" s="128">
        <f t="shared" si="3"/>
      </c>
      <c r="J64" s="128">
        <f t="shared" si="4"/>
      </c>
      <c r="K64" s="128">
        <f t="shared" si="5"/>
        <v>6</v>
      </c>
      <c r="L64" s="128">
        <f t="shared" si="6"/>
      </c>
      <c r="M64" s="128">
        <f t="shared" si="7"/>
        <v>5</v>
      </c>
      <c r="N64" s="128">
        <f t="shared" si="8"/>
        <v>4</v>
      </c>
      <c r="O64" s="128">
        <f t="shared" si="9"/>
      </c>
      <c r="P64" s="128">
        <f t="shared" si="10"/>
      </c>
      <c r="Q64" s="128">
        <f t="shared" si="11"/>
      </c>
      <c r="R64" s="128">
        <f t="shared" si="12"/>
      </c>
      <c r="S64" s="128">
        <f t="shared" si="13"/>
      </c>
      <c r="T64" s="128">
        <f t="shared" si="14"/>
      </c>
      <c r="U64" s="129">
        <f t="shared" si="15"/>
      </c>
      <c r="V64" s="119" t="s">
        <v>154</v>
      </c>
      <c r="W64" s="51">
        <f>VLOOKUP($A64,TeamsData!$A$2:$N$99,12,FALSE)</f>
        <v>21</v>
      </c>
      <c r="X64">
        <v>72</v>
      </c>
      <c r="Y64">
        <v>0</v>
      </c>
      <c r="Z64">
        <v>0</v>
      </c>
      <c r="AA64">
        <v>0</v>
      </c>
      <c r="AB64">
        <v>6</v>
      </c>
      <c r="AC64">
        <v>0</v>
      </c>
      <c r="AD64">
        <v>5</v>
      </c>
      <c r="AE64">
        <v>4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</row>
    <row r="65" spans="1:38" ht="12.75">
      <c r="A65" s="110">
        <v>11</v>
      </c>
      <c r="B65" s="115">
        <f>IF($A65&lt;&gt;$A64,VLOOKUP($A65,TeamsData!$A$2:$N$99,12,FALSE),"")</f>
      </c>
      <c r="C65" s="51">
        <f>IF($A65&lt;&gt;$A64,VLOOKUP($A65,TeamsData!$A$2:$N$99,2,FALSE),"")</f>
      </c>
      <c r="D65" s="51">
        <f>IF($A65&lt;&gt;$A64,VLOOKUP($A65,TeamsData!$A$2:$N$99,3,FALSE),"")</f>
      </c>
      <c r="E65" s="109">
        <v>2</v>
      </c>
      <c r="F65" s="140">
        <v>82</v>
      </c>
      <c r="G65" s="109">
        <f t="shared" si="1"/>
        <v>72</v>
      </c>
      <c r="H65" s="109">
        <f t="shared" si="2"/>
      </c>
      <c r="I65" s="109">
        <f t="shared" si="3"/>
      </c>
      <c r="J65" s="109">
        <f t="shared" si="4"/>
      </c>
      <c r="K65" s="109">
        <f t="shared" si="5"/>
        <v>6</v>
      </c>
      <c r="L65" s="109">
        <f t="shared" si="6"/>
      </c>
      <c r="M65" s="109">
        <f t="shared" si="7"/>
      </c>
      <c r="N65" s="109">
        <f t="shared" si="8"/>
        <v>4</v>
      </c>
      <c r="O65" s="109">
        <f t="shared" si="9"/>
      </c>
      <c r="P65" s="109">
        <f t="shared" si="10"/>
      </c>
      <c r="Q65" s="109">
        <f t="shared" si="11"/>
      </c>
      <c r="R65" s="109">
        <f t="shared" si="12"/>
      </c>
      <c r="S65" s="109">
        <f t="shared" si="13"/>
      </c>
      <c r="T65" s="109">
        <f t="shared" si="14"/>
      </c>
      <c r="U65" s="130">
        <f t="shared" si="15"/>
      </c>
      <c r="V65" s="118" t="s">
        <v>175</v>
      </c>
      <c r="W65" s="51">
        <f>VLOOKUP($A65,TeamsData!$A$2:$N$99,12,FALSE)</f>
        <v>21</v>
      </c>
      <c r="X65">
        <v>72</v>
      </c>
      <c r="Y65">
        <v>0</v>
      </c>
      <c r="Z65">
        <v>0</v>
      </c>
      <c r="AA65">
        <v>0</v>
      </c>
      <c r="AB65">
        <v>6</v>
      </c>
      <c r="AC65">
        <v>0</v>
      </c>
      <c r="AD65">
        <v>0</v>
      </c>
      <c r="AE65">
        <v>4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</row>
    <row r="66" spans="1:38" ht="13.5" thickBot="1">
      <c r="A66" s="110">
        <v>11</v>
      </c>
      <c r="B66" s="116">
        <f>IF($A66&lt;&gt;$A65,VLOOKUP($A66,TeamsData!$A$2:$N$99,12,FALSE),"")</f>
      </c>
      <c r="C66" s="117">
        <f>IF($A66&lt;&gt;$A65,VLOOKUP($A66,TeamsData!$A$2:$N$99,2,FALSE),"")</f>
      </c>
      <c r="D66" s="117">
        <f>IF($A66&lt;&gt;$A65,VLOOKUP($A66,TeamsData!$A$2:$N$99,3,FALSE),"")</f>
      </c>
      <c r="E66" s="131">
        <v>3</v>
      </c>
      <c r="F66" s="141">
        <v>89</v>
      </c>
      <c r="G66" s="131">
        <f t="shared" si="1"/>
        <v>72</v>
      </c>
      <c r="H66" s="131">
        <f t="shared" si="2"/>
      </c>
      <c r="I66" s="131">
        <f t="shared" si="3"/>
      </c>
      <c r="J66" s="131">
        <f t="shared" si="4"/>
      </c>
      <c r="K66" s="131">
        <f t="shared" si="5"/>
        <v>6</v>
      </c>
      <c r="L66" s="131">
        <f t="shared" si="6"/>
        <v>7</v>
      </c>
      <c r="M66" s="131">
        <f t="shared" si="7"/>
      </c>
      <c r="N66" s="131">
        <f t="shared" si="8"/>
        <v>4</v>
      </c>
      <c r="O66" s="131">
        <f t="shared" si="9"/>
      </c>
      <c r="P66" s="131">
        <f t="shared" si="10"/>
      </c>
      <c r="Q66" s="131">
        <f t="shared" si="11"/>
      </c>
      <c r="R66" s="131">
        <f t="shared" si="12"/>
      </c>
      <c r="S66" s="131">
        <f t="shared" si="13"/>
      </c>
      <c r="T66" s="131">
        <f t="shared" si="14"/>
      </c>
      <c r="U66" s="132">
        <f t="shared" si="15"/>
      </c>
      <c r="V66" s="118" t="s">
        <v>199</v>
      </c>
      <c r="W66" s="51">
        <f>VLOOKUP($A66,TeamsData!$A$2:$N$99,12,FALSE)</f>
        <v>21</v>
      </c>
      <c r="X66">
        <v>72</v>
      </c>
      <c r="Y66">
        <v>0</v>
      </c>
      <c r="Z66">
        <v>0</v>
      </c>
      <c r="AA66">
        <v>0</v>
      </c>
      <c r="AB66">
        <v>6</v>
      </c>
      <c r="AC66">
        <v>7</v>
      </c>
      <c r="AD66">
        <v>0</v>
      </c>
      <c r="AE66">
        <v>4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</row>
    <row r="67" spans="1:38" ht="12.75">
      <c r="A67" s="110">
        <v>22</v>
      </c>
      <c r="B67" s="113">
        <f>IF($A67&lt;&gt;$A66,VLOOKUP($A67,TeamsData!$A$2:$N$99,12,FALSE),"")</f>
        <v>22</v>
      </c>
      <c r="C67" s="114">
        <f>IF($A67&lt;&gt;$A66,VLOOKUP($A67,TeamsData!$A$2:$N$99,2,FALSE),"")</f>
        <v>6195</v>
      </c>
      <c r="D67" s="114" t="str">
        <f>IF($A67&lt;&gt;$A66,VLOOKUP($A67,TeamsData!$A$2:$N$99,3,FALSE),"")</f>
        <v>SAPP0WER4</v>
      </c>
      <c r="E67" s="128">
        <v>1</v>
      </c>
      <c r="F67" s="139">
        <v>86</v>
      </c>
      <c r="G67" s="128">
        <f aca="true" t="shared" si="16" ref="G67:G77">IF(X67=0,"",X67)</f>
        <v>66</v>
      </c>
      <c r="H67" s="128">
        <f aca="true" t="shared" si="17" ref="H67:H77">IF(Y67=0,"",Y67)</f>
      </c>
      <c r="I67" s="128">
        <f aca="true" t="shared" si="18" ref="I67:I77">IF(Z67=0,"",Z67)</f>
      </c>
      <c r="J67" s="128">
        <f aca="true" t="shared" si="19" ref="J67:J77">IF(AA67=0,"",AA67)</f>
      </c>
      <c r="K67" s="128">
        <f aca="true" t="shared" si="20" ref="K67:K77">IF(AB67=0,"",AB67)</f>
      </c>
      <c r="L67" s="128">
        <f aca="true" t="shared" si="21" ref="L67:L77">IF(AC67=0,"",AC67)</f>
      </c>
      <c r="M67" s="128">
        <f aca="true" t="shared" si="22" ref="M67:M77">IF(AD67=0,"",AD67)</f>
      </c>
      <c r="N67" s="128">
        <f aca="true" t="shared" si="23" ref="N67:N77">IF(AE67=0,"",AE67)</f>
        <v>8</v>
      </c>
      <c r="O67" s="128">
        <f aca="true" t="shared" si="24" ref="O67:O77">IF(AF67=0,"",AF67)</f>
        <v>12</v>
      </c>
      <c r="P67" s="128">
        <f aca="true" t="shared" si="25" ref="P67:P77">IF(AG67=0,"",AG67)</f>
      </c>
      <c r="Q67" s="128">
        <f aca="true" t="shared" si="26" ref="Q67:Q77">IF(AH67=0,"",AH67)</f>
      </c>
      <c r="R67" s="128">
        <f aca="true" t="shared" si="27" ref="R67:R77">IF(AI67=0,"",AI67)</f>
      </c>
      <c r="S67" s="128">
        <f aca="true" t="shared" si="28" ref="S67:S77">IF(AJ67=0,"",AJ67)</f>
      </c>
      <c r="T67" s="128">
        <f aca="true" t="shared" si="29" ref="T67:T77">IF(AK67=0,"",AK67)</f>
      </c>
      <c r="U67" s="129">
        <f aca="true" t="shared" si="30" ref="U67:U77">IF(AL67=0,"",AL67)</f>
      </c>
      <c r="V67" s="119" t="s">
        <v>152</v>
      </c>
      <c r="W67" s="51">
        <f>VLOOKUP($A67,TeamsData!$A$2:$N$99,12,FALSE)</f>
        <v>22</v>
      </c>
      <c r="X67">
        <v>66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8</v>
      </c>
      <c r="AF67">
        <v>12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</row>
    <row r="68" spans="1:38" ht="13.5" thickBot="1">
      <c r="A68" s="110">
        <v>22</v>
      </c>
      <c r="B68" s="116">
        <f>IF($A68&lt;&gt;$A67,VLOOKUP($A68,TeamsData!$A$2:$N$99,12,FALSE),"")</f>
      </c>
      <c r="C68" s="117">
        <f>IF($A68&lt;&gt;$A67,VLOOKUP($A68,TeamsData!$A$2:$N$99,2,FALSE),"")</f>
      </c>
      <c r="D68" s="117">
        <f>IF($A68&lt;&gt;$A67,VLOOKUP($A68,TeamsData!$A$2:$N$99,3,FALSE),"")</f>
      </c>
      <c r="E68" s="131">
        <v>2</v>
      </c>
      <c r="F68" s="141">
        <v>86</v>
      </c>
      <c r="G68" s="131">
        <f t="shared" si="16"/>
        <v>66</v>
      </c>
      <c r="H68" s="131">
        <f t="shared" si="17"/>
      </c>
      <c r="I68" s="131">
        <f t="shared" si="18"/>
      </c>
      <c r="J68" s="131">
        <f t="shared" si="19"/>
      </c>
      <c r="K68" s="131">
        <f t="shared" si="20"/>
      </c>
      <c r="L68" s="131">
        <f t="shared" si="21"/>
        <v>7</v>
      </c>
      <c r="M68" s="131">
        <f t="shared" si="22"/>
        <v>9</v>
      </c>
      <c r="N68" s="131">
        <f t="shared" si="23"/>
        <v>4</v>
      </c>
      <c r="O68" s="131">
        <f t="shared" si="24"/>
      </c>
      <c r="P68" s="131">
        <f t="shared" si="25"/>
      </c>
      <c r="Q68" s="131">
        <f t="shared" si="26"/>
      </c>
      <c r="R68" s="131">
        <f t="shared" si="27"/>
      </c>
      <c r="S68" s="131">
        <f t="shared" si="28"/>
      </c>
      <c r="T68" s="131">
        <f t="shared" si="29"/>
      </c>
      <c r="U68" s="132">
        <f t="shared" si="30"/>
      </c>
      <c r="V68" s="118" t="s">
        <v>178</v>
      </c>
      <c r="W68" s="51">
        <f>VLOOKUP($A68,TeamsData!$A$2:$N$99,12,FALSE)</f>
        <v>22</v>
      </c>
      <c r="X68">
        <v>66</v>
      </c>
      <c r="Y68">
        <v>0</v>
      </c>
      <c r="Z68">
        <v>0</v>
      </c>
      <c r="AA68">
        <v>0</v>
      </c>
      <c r="AB68">
        <v>0</v>
      </c>
      <c r="AC68">
        <v>7</v>
      </c>
      <c r="AD68">
        <v>9</v>
      </c>
      <c r="AE68">
        <v>4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</row>
    <row r="69" spans="1:38" ht="12.75">
      <c r="A69" s="110">
        <v>23</v>
      </c>
      <c r="B69" s="113">
        <f>IF($A69&lt;&gt;$A68,VLOOKUP($A69,TeamsData!$A$2:$N$99,12,FALSE),"")</f>
        <v>23</v>
      </c>
      <c r="C69" s="114">
        <f>IF($A69&lt;&gt;$A68,VLOOKUP($A69,TeamsData!$A$2:$N$99,2,FALSE),"")</f>
        <v>11561</v>
      </c>
      <c r="D69" s="114" t="str">
        <f>IF($A69&lt;&gt;$A68,VLOOKUP($A69,TeamsData!$A$2:$N$99,3,FALSE),"")</f>
        <v>Smart Cookies</v>
      </c>
      <c r="E69" s="128">
        <v>1</v>
      </c>
      <c r="F69" s="139">
        <v>57</v>
      </c>
      <c r="G69" s="128">
        <f t="shared" si="16"/>
        <v>48</v>
      </c>
      <c r="H69" s="128">
        <f t="shared" si="17"/>
      </c>
      <c r="I69" s="128">
        <f t="shared" si="18"/>
      </c>
      <c r="J69" s="128">
        <f t="shared" si="19"/>
      </c>
      <c r="K69" s="128">
        <f t="shared" si="20"/>
      </c>
      <c r="L69" s="128">
        <f t="shared" si="21"/>
      </c>
      <c r="M69" s="128">
        <f t="shared" si="22"/>
        <v>5</v>
      </c>
      <c r="N69" s="128">
        <f t="shared" si="23"/>
        <v>4</v>
      </c>
      <c r="O69" s="128">
        <f t="shared" si="24"/>
      </c>
      <c r="P69" s="128">
        <f t="shared" si="25"/>
      </c>
      <c r="Q69" s="128">
        <f t="shared" si="26"/>
      </c>
      <c r="R69" s="128">
        <f t="shared" si="27"/>
      </c>
      <c r="S69" s="128">
        <f t="shared" si="28"/>
      </c>
      <c r="T69" s="128">
        <f t="shared" si="29"/>
      </c>
      <c r="U69" s="129">
        <f t="shared" si="30"/>
      </c>
      <c r="V69" s="118" t="s">
        <v>164</v>
      </c>
      <c r="W69" s="51">
        <f>VLOOKUP($A69,TeamsData!$A$2:$N$99,12,FALSE)</f>
        <v>23</v>
      </c>
      <c r="X69">
        <v>48</v>
      </c>
      <c r="Y69">
        <v>0</v>
      </c>
      <c r="Z69">
        <v>0</v>
      </c>
      <c r="AA69">
        <v>0</v>
      </c>
      <c r="AB69">
        <v>0</v>
      </c>
      <c r="AC69">
        <v>0</v>
      </c>
      <c r="AD69">
        <v>5</v>
      </c>
      <c r="AE69">
        <v>4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</row>
    <row r="70" spans="1:38" ht="12.75">
      <c r="A70" s="110">
        <v>23</v>
      </c>
      <c r="B70" s="115">
        <f>IF($A70&lt;&gt;$A69,VLOOKUP($A70,TeamsData!$A$2:$N$99,12,FALSE),"")</f>
      </c>
      <c r="C70" s="51">
        <f>IF($A70&lt;&gt;$A69,VLOOKUP($A70,TeamsData!$A$2:$N$99,2,FALSE),"")</f>
      </c>
      <c r="D70" s="51">
        <f>IF($A70&lt;&gt;$A69,VLOOKUP($A70,TeamsData!$A$2:$N$99,3,FALSE),"")</f>
      </c>
      <c r="E70" s="109">
        <v>2</v>
      </c>
      <c r="F70" s="140">
        <v>69</v>
      </c>
      <c r="G70" s="109">
        <f t="shared" si="16"/>
        <v>60</v>
      </c>
      <c r="H70" s="109">
        <f t="shared" si="17"/>
      </c>
      <c r="I70" s="109">
        <f t="shared" si="18"/>
      </c>
      <c r="J70" s="109">
        <f t="shared" si="19"/>
      </c>
      <c r="K70" s="109">
        <f t="shared" si="20"/>
      </c>
      <c r="L70" s="109">
        <f t="shared" si="21"/>
      </c>
      <c r="M70" s="109">
        <f t="shared" si="22"/>
        <v>5</v>
      </c>
      <c r="N70" s="109">
        <f t="shared" si="23"/>
        <v>4</v>
      </c>
      <c r="O70" s="109">
        <f t="shared" si="24"/>
      </c>
      <c r="P70" s="109">
        <f t="shared" si="25"/>
      </c>
      <c r="Q70" s="109">
        <f t="shared" si="26"/>
      </c>
      <c r="R70" s="109">
        <f t="shared" si="27"/>
      </c>
      <c r="S70" s="109">
        <f t="shared" si="28"/>
      </c>
      <c r="T70" s="109">
        <f t="shared" si="29"/>
      </c>
      <c r="U70" s="130">
        <f t="shared" si="30"/>
      </c>
      <c r="V70" s="118" t="s">
        <v>185</v>
      </c>
      <c r="W70" s="51">
        <f>VLOOKUP($A70,TeamsData!$A$2:$N$99,12,FALSE)</f>
        <v>23</v>
      </c>
      <c r="X70">
        <v>60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5</v>
      </c>
      <c r="AE70">
        <v>4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</row>
    <row r="71" spans="1:38" ht="13.5" thickBot="1">
      <c r="A71" s="110">
        <v>23</v>
      </c>
      <c r="B71" s="116">
        <f>IF($A71&lt;&gt;$A70,VLOOKUP($A71,TeamsData!$A$2:$N$99,12,FALSE),"")</f>
      </c>
      <c r="C71" s="117">
        <f>IF($A71&lt;&gt;$A70,VLOOKUP($A71,TeamsData!$A$2:$N$99,2,FALSE),"")</f>
      </c>
      <c r="D71" s="117">
        <f>IF($A71&lt;&gt;$A70,VLOOKUP($A71,TeamsData!$A$2:$N$99,3,FALSE),"")</f>
      </c>
      <c r="E71" s="131">
        <v>3</v>
      </c>
      <c r="F71" s="141">
        <v>83</v>
      </c>
      <c r="G71" s="131">
        <f t="shared" si="16"/>
        <v>72</v>
      </c>
      <c r="H71" s="131">
        <f t="shared" si="17"/>
      </c>
      <c r="I71" s="131">
        <f t="shared" si="18"/>
      </c>
      <c r="J71" s="131">
        <f t="shared" si="19"/>
      </c>
      <c r="K71" s="131">
        <f t="shared" si="20"/>
        <v>6</v>
      </c>
      <c r="L71" s="131">
        <f t="shared" si="21"/>
      </c>
      <c r="M71" s="131">
        <f t="shared" si="22"/>
        <v>5</v>
      </c>
      <c r="N71" s="131">
        <f t="shared" si="23"/>
      </c>
      <c r="O71" s="131">
        <f t="shared" si="24"/>
      </c>
      <c r="P71" s="131">
        <f t="shared" si="25"/>
      </c>
      <c r="Q71" s="131">
        <f t="shared" si="26"/>
      </c>
      <c r="R71" s="131">
        <f t="shared" si="27"/>
      </c>
      <c r="S71" s="131">
        <f t="shared" si="28"/>
      </c>
      <c r="T71" s="131">
        <f t="shared" si="29"/>
      </c>
      <c r="U71" s="132">
        <f t="shared" si="30"/>
      </c>
      <c r="V71" s="118" t="s">
        <v>208</v>
      </c>
      <c r="W71" s="51">
        <f>VLOOKUP($A71,TeamsData!$A$2:$N$99,12,FALSE)</f>
        <v>23</v>
      </c>
      <c r="X71">
        <v>72</v>
      </c>
      <c r="Y71">
        <v>0</v>
      </c>
      <c r="Z71">
        <v>0</v>
      </c>
      <c r="AA71">
        <v>0</v>
      </c>
      <c r="AB71">
        <v>6</v>
      </c>
      <c r="AC71">
        <v>0</v>
      </c>
      <c r="AD71">
        <v>5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</row>
    <row r="72" spans="1:38" ht="12.75">
      <c r="A72" s="110">
        <v>27</v>
      </c>
      <c r="B72" s="113">
        <f>IF($A72&lt;&gt;$A71,VLOOKUP($A72,TeamsData!$A$2:$N$99,12,FALSE),"")</f>
        <v>24</v>
      </c>
      <c r="C72" s="114">
        <f>IF($A72&lt;&gt;$A71,VLOOKUP($A72,TeamsData!$A$2:$N$99,2,FALSE),"")</f>
        <v>3447</v>
      </c>
      <c r="D72" s="114" t="str">
        <f>IF($A72&lt;&gt;$A71,VLOOKUP($A72,TeamsData!$A$2:$N$99,3,FALSE),"")</f>
        <v>Robotics space girls</v>
      </c>
      <c r="E72" s="128">
        <v>1</v>
      </c>
      <c r="F72" s="139">
        <v>58</v>
      </c>
      <c r="G72" s="128">
        <f t="shared" si="16"/>
        <v>54</v>
      </c>
      <c r="H72" s="128">
        <f t="shared" si="17"/>
      </c>
      <c r="I72" s="128">
        <f t="shared" si="18"/>
      </c>
      <c r="J72" s="128">
        <f t="shared" si="19"/>
      </c>
      <c r="K72" s="128">
        <f t="shared" si="20"/>
      </c>
      <c r="L72" s="128">
        <f t="shared" si="21"/>
      </c>
      <c r="M72" s="128">
        <f t="shared" si="22"/>
      </c>
      <c r="N72" s="128">
        <f t="shared" si="23"/>
        <v>4</v>
      </c>
      <c r="O72" s="128">
        <f t="shared" si="24"/>
      </c>
      <c r="P72" s="128">
        <f t="shared" si="25"/>
      </c>
      <c r="Q72" s="128">
        <f t="shared" si="26"/>
      </c>
      <c r="R72" s="128">
        <f t="shared" si="27"/>
      </c>
      <c r="S72" s="128">
        <f t="shared" si="28"/>
      </c>
      <c r="T72" s="128">
        <f t="shared" si="29"/>
      </c>
      <c r="U72" s="129">
        <f t="shared" si="30"/>
      </c>
      <c r="V72" s="118" t="s">
        <v>176</v>
      </c>
      <c r="W72" s="51">
        <f>VLOOKUP($A72,TeamsData!$A$2:$N$99,12,FALSE)</f>
        <v>24</v>
      </c>
      <c r="X72">
        <v>54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4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</row>
    <row r="73" spans="1:38" ht="12.75">
      <c r="A73" s="110">
        <v>27</v>
      </c>
      <c r="B73" s="115">
        <f>IF($A73&lt;&gt;$A72,VLOOKUP($A73,TeamsData!$A$2:$N$99,12,FALSE),"")</f>
      </c>
      <c r="C73" s="51">
        <f>IF($A73&lt;&gt;$A72,VLOOKUP($A73,TeamsData!$A$2:$N$99,2,FALSE),"")</f>
      </c>
      <c r="D73" s="51">
        <f>IF($A73&lt;&gt;$A72,VLOOKUP($A73,TeamsData!$A$2:$N$99,3,FALSE),"")</f>
      </c>
      <c r="E73" s="109">
        <v>2</v>
      </c>
      <c r="F73" s="140">
        <v>77</v>
      </c>
      <c r="G73" s="109">
        <f t="shared" si="16"/>
        <v>66</v>
      </c>
      <c r="H73" s="109">
        <f t="shared" si="17"/>
      </c>
      <c r="I73" s="109">
        <f t="shared" si="18"/>
      </c>
      <c r="J73" s="109">
        <f t="shared" si="19"/>
      </c>
      <c r="K73" s="109">
        <f t="shared" si="20"/>
      </c>
      <c r="L73" s="109">
        <f t="shared" si="21"/>
        <v>7</v>
      </c>
      <c r="M73" s="109">
        <f t="shared" si="22"/>
      </c>
      <c r="N73" s="109">
        <f t="shared" si="23"/>
        <v>4</v>
      </c>
      <c r="O73" s="109">
        <f t="shared" si="24"/>
      </c>
      <c r="P73" s="109">
        <f t="shared" si="25"/>
      </c>
      <c r="Q73" s="109">
        <f t="shared" si="26"/>
      </c>
      <c r="R73" s="109">
        <f t="shared" si="27"/>
      </c>
      <c r="S73" s="109">
        <f t="shared" si="28"/>
      </c>
      <c r="T73" s="109">
        <f t="shared" si="29"/>
      </c>
      <c r="U73" s="130">
        <f t="shared" si="30"/>
      </c>
      <c r="V73" s="118" t="s">
        <v>197</v>
      </c>
      <c r="W73" s="51">
        <f>VLOOKUP($A73,TeamsData!$A$2:$N$99,12,FALSE)</f>
        <v>24</v>
      </c>
      <c r="X73">
        <v>66</v>
      </c>
      <c r="Y73">
        <v>0</v>
      </c>
      <c r="Z73">
        <v>0</v>
      </c>
      <c r="AA73">
        <v>0</v>
      </c>
      <c r="AB73">
        <v>0</v>
      </c>
      <c r="AC73">
        <v>7</v>
      </c>
      <c r="AD73">
        <v>0</v>
      </c>
      <c r="AE73">
        <v>4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</row>
    <row r="74" spans="1:38" ht="13.5" thickBot="1">
      <c r="A74" s="110">
        <v>27</v>
      </c>
      <c r="B74" s="116">
        <f>IF($A74&lt;&gt;$A73,VLOOKUP($A74,TeamsData!$A$2:$N$99,12,FALSE),"")</f>
      </c>
      <c r="C74" s="117">
        <f>IF($A74&lt;&gt;$A73,VLOOKUP($A74,TeamsData!$A$2:$N$99,2,FALSE),"")</f>
      </c>
      <c r="D74" s="117">
        <f>IF($A74&lt;&gt;$A73,VLOOKUP($A74,TeamsData!$A$2:$N$99,3,FALSE),"")</f>
      </c>
      <c r="E74" s="131">
        <v>3</v>
      </c>
      <c r="F74" s="141">
        <v>65</v>
      </c>
      <c r="G74" s="131">
        <f t="shared" si="16"/>
        <v>54</v>
      </c>
      <c r="H74" s="131">
        <f t="shared" si="17"/>
      </c>
      <c r="I74" s="131">
        <f t="shared" si="18"/>
      </c>
      <c r="J74" s="131">
        <f t="shared" si="19"/>
      </c>
      <c r="K74" s="131">
        <f t="shared" si="20"/>
      </c>
      <c r="L74" s="131">
        <f t="shared" si="21"/>
        <v>7</v>
      </c>
      <c r="M74" s="131">
        <f t="shared" si="22"/>
      </c>
      <c r="N74" s="131">
        <f t="shared" si="23"/>
        <v>4</v>
      </c>
      <c r="O74" s="131">
        <f t="shared" si="24"/>
      </c>
      <c r="P74" s="131">
        <f t="shared" si="25"/>
      </c>
      <c r="Q74" s="131">
        <f t="shared" si="26"/>
      </c>
      <c r="R74" s="131">
        <f t="shared" si="27"/>
      </c>
      <c r="S74" s="131">
        <f t="shared" si="28"/>
      </c>
      <c r="T74" s="131">
        <f t="shared" si="29"/>
      </c>
      <c r="U74" s="132">
        <f t="shared" si="30"/>
      </c>
      <c r="V74" s="118" t="s">
        <v>212</v>
      </c>
      <c r="W74" s="51">
        <f>VLOOKUP($A74,TeamsData!$A$2:$N$99,12,FALSE)</f>
        <v>24</v>
      </c>
      <c r="X74">
        <v>54</v>
      </c>
      <c r="Y74">
        <v>0</v>
      </c>
      <c r="Z74">
        <v>0</v>
      </c>
      <c r="AA74">
        <v>0</v>
      </c>
      <c r="AB74">
        <v>0</v>
      </c>
      <c r="AC74">
        <v>7</v>
      </c>
      <c r="AD74">
        <v>0</v>
      </c>
      <c r="AE74">
        <v>4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</row>
    <row r="75" spans="1:38" ht="12.75">
      <c r="A75" s="110">
        <v>15</v>
      </c>
      <c r="B75" s="113">
        <f>IF($A75&lt;&gt;$A74,VLOOKUP($A75,TeamsData!$A$2:$N$99,12,FALSE),"")</f>
        <v>25</v>
      </c>
      <c r="C75" s="114">
        <f>IF($A75&lt;&gt;$A74,VLOOKUP($A75,TeamsData!$A$2:$N$99,2,FALSE),"")</f>
        <v>12440</v>
      </c>
      <c r="D75" s="114" t="str">
        <f>IF($A75&lt;&gt;$A74,VLOOKUP($A75,TeamsData!$A$2:$N$99,3,FALSE),"")</f>
        <v>Nano-bugs</v>
      </c>
      <c r="E75" s="128">
        <v>1</v>
      </c>
      <c r="F75" s="139">
        <v>54</v>
      </c>
      <c r="G75" s="128">
        <f t="shared" si="16"/>
        <v>54</v>
      </c>
      <c r="H75" s="128">
        <f t="shared" si="17"/>
      </c>
      <c r="I75" s="128">
        <f t="shared" si="18"/>
      </c>
      <c r="J75" s="128">
        <f t="shared" si="19"/>
      </c>
      <c r="K75" s="128">
        <f t="shared" si="20"/>
      </c>
      <c r="L75" s="128">
        <f t="shared" si="21"/>
      </c>
      <c r="M75" s="128">
        <f t="shared" si="22"/>
      </c>
      <c r="N75" s="128">
        <f t="shared" si="23"/>
      </c>
      <c r="O75" s="128">
        <f t="shared" si="24"/>
      </c>
      <c r="P75" s="128">
        <f t="shared" si="25"/>
      </c>
      <c r="Q75" s="128">
        <f t="shared" si="26"/>
      </c>
      <c r="R75" s="128">
        <f t="shared" si="27"/>
      </c>
      <c r="S75" s="128">
        <f t="shared" si="28"/>
      </c>
      <c r="T75" s="128">
        <f t="shared" si="29"/>
      </c>
      <c r="U75" s="129">
        <f t="shared" si="30"/>
      </c>
      <c r="V75" s="119" t="s">
        <v>155</v>
      </c>
      <c r="W75" s="51">
        <f>VLOOKUP($A75,TeamsData!$A$2:$N$99,12,FALSE)</f>
        <v>25</v>
      </c>
      <c r="X75">
        <v>54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</row>
    <row r="76" spans="1:38" ht="12.75">
      <c r="A76" s="110">
        <v>15</v>
      </c>
      <c r="B76" s="115">
        <f>IF($A76&lt;&gt;$A75,VLOOKUP($A76,TeamsData!$A$2:$N$99,12,FALSE),"")</f>
      </c>
      <c r="C76" s="51">
        <f>IF($A76&lt;&gt;$A75,VLOOKUP($A76,TeamsData!$A$2:$N$99,2,FALSE),"")</f>
      </c>
      <c r="D76" s="51">
        <f>IF($A76&lt;&gt;$A75,VLOOKUP($A76,TeamsData!$A$2:$N$99,3,FALSE),"")</f>
      </c>
      <c r="E76" s="109">
        <v>2</v>
      </c>
      <c r="F76" s="140">
        <v>74</v>
      </c>
      <c r="G76" s="109">
        <f t="shared" si="16"/>
        <v>54</v>
      </c>
      <c r="H76" s="109">
        <f t="shared" si="17"/>
      </c>
      <c r="I76" s="109">
        <f t="shared" si="18"/>
      </c>
      <c r="J76" s="109">
        <f t="shared" si="19"/>
      </c>
      <c r="K76" s="109">
        <f t="shared" si="20"/>
      </c>
      <c r="L76" s="109">
        <f t="shared" si="21"/>
      </c>
      <c r="M76" s="109">
        <f t="shared" si="22"/>
      </c>
      <c r="N76" s="109">
        <f t="shared" si="23"/>
      </c>
      <c r="O76" s="109">
        <f t="shared" si="24"/>
        <v>20</v>
      </c>
      <c r="P76" s="109">
        <f t="shared" si="25"/>
      </c>
      <c r="Q76" s="109">
        <f t="shared" si="26"/>
      </c>
      <c r="R76" s="109">
        <f t="shared" si="27"/>
      </c>
      <c r="S76" s="109">
        <f t="shared" si="28"/>
      </c>
      <c r="T76" s="109">
        <f t="shared" si="29"/>
      </c>
      <c r="U76" s="130">
        <f t="shared" si="30"/>
      </c>
      <c r="V76" s="118" t="s">
        <v>177</v>
      </c>
      <c r="W76" s="51">
        <f>VLOOKUP($A76,TeamsData!$A$2:$N$99,12,FALSE)</f>
        <v>25</v>
      </c>
      <c r="X76">
        <v>54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20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</row>
    <row r="77" spans="1:38" ht="13.5" thickBot="1">
      <c r="A77" s="110">
        <v>15</v>
      </c>
      <c r="B77" s="116">
        <f>IF($A77&lt;&gt;$A76,VLOOKUP($A77,TeamsData!$A$2:$N$99,12,FALSE),"")</f>
      </c>
      <c r="C77" s="117">
        <f>IF($A77&lt;&gt;$A76,VLOOKUP($A77,TeamsData!$A$2:$N$99,2,FALSE),"")</f>
      </c>
      <c r="D77" s="117">
        <f>IF($A77&lt;&gt;$A76,VLOOKUP($A77,TeamsData!$A$2:$N$99,3,FALSE),"")</f>
      </c>
      <c r="E77" s="131">
        <v>3</v>
      </c>
      <c r="F77" s="141">
        <v>61</v>
      </c>
      <c r="G77" s="131">
        <f t="shared" si="16"/>
        <v>54</v>
      </c>
      <c r="H77" s="131">
        <f t="shared" si="17"/>
      </c>
      <c r="I77" s="131">
        <f t="shared" si="18"/>
      </c>
      <c r="J77" s="131">
        <f t="shared" si="19"/>
      </c>
      <c r="K77" s="131">
        <f t="shared" si="20"/>
      </c>
      <c r="L77" s="131">
        <f t="shared" si="21"/>
        <v>7</v>
      </c>
      <c r="M77" s="131">
        <f t="shared" si="22"/>
      </c>
      <c r="N77" s="131">
        <f t="shared" si="23"/>
      </c>
      <c r="O77" s="131">
        <f t="shared" si="24"/>
      </c>
      <c r="P77" s="131">
        <f t="shared" si="25"/>
      </c>
      <c r="Q77" s="131">
        <f t="shared" si="26"/>
      </c>
      <c r="R77" s="131">
        <f t="shared" si="27"/>
      </c>
      <c r="S77" s="131">
        <f t="shared" si="28"/>
      </c>
      <c r="T77" s="131">
        <f t="shared" si="29"/>
      </c>
      <c r="U77" s="132">
        <f t="shared" si="30"/>
      </c>
      <c r="V77" s="118" t="s">
        <v>204</v>
      </c>
      <c r="W77" s="51">
        <f>VLOOKUP($A77,TeamsData!$A$2:$N$99,12,FALSE)</f>
        <v>25</v>
      </c>
      <c r="X77">
        <v>54</v>
      </c>
      <c r="Y77">
        <v>0</v>
      </c>
      <c r="Z77">
        <v>0</v>
      </c>
      <c r="AA77">
        <v>0</v>
      </c>
      <c r="AB77">
        <v>0</v>
      </c>
      <c r="AC77">
        <v>7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</row>
  </sheetData>
  <conditionalFormatting sqref="B2:U77">
    <cfRule type="expression" priority="1" dxfId="0" stopIfTrue="1">
      <formula>MOD($W2,3)=1</formula>
    </cfRule>
    <cfRule type="expression" priority="2" dxfId="1" stopIfTrue="1">
      <formula>MOD($W2,3)=2</formula>
    </cfRule>
    <cfRule type="expression" priority="3" dxfId="2" stopIfTrue="1">
      <formula>MOD($W2,3)=0</formula>
    </cfRule>
  </conditionalFormatting>
  <printOptions horizontalCentered="1"/>
  <pageMargins left="0.41" right="0.24" top="0.46" bottom="0.48" header="0.23" footer="0.24"/>
  <pageSetup fitToHeight="2" horizontalDpi="300" verticalDpi="300" orientation="portrait" r:id="rId1"/>
  <headerFooter alignWithMargins="0">
    <oddHeader>&amp;CLos Altos Scrimmage 10/23/2011</oddHeader>
    <oddFooter>&amp;CPage &amp;P of &amp;N</oddFooter>
  </headerFooter>
  <rowBreaks count="1" manualBreakCount="1">
    <brk id="51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2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104.00390625" style="0" customWidth="1"/>
  </cols>
  <sheetData>
    <row r="1" ht="12.75">
      <c r="A1" s="102" t="s">
        <v>100</v>
      </c>
    </row>
    <row r="2" ht="12.75">
      <c r="A2" s="103"/>
    </row>
    <row r="3" ht="12.75">
      <c r="A3" s="103" t="s">
        <v>108</v>
      </c>
    </row>
    <row r="4" ht="12.75">
      <c r="A4" s="103"/>
    </row>
    <row r="5" ht="12.75">
      <c r="A5" s="103" t="s">
        <v>109</v>
      </c>
    </row>
    <row r="6" ht="12.75">
      <c r="A6" s="103" t="s">
        <v>101</v>
      </c>
    </row>
    <row r="7" ht="12.75">
      <c r="A7" s="103" t="s">
        <v>102</v>
      </c>
    </row>
    <row r="8" ht="12.75">
      <c r="A8" s="103"/>
    </row>
    <row r="9" ht="12.75">
      <c r="A9" s="103" t="s">
        <v>111</v>
      </c>
    </row>
    <row r="10" ht="12.75">
      <c r="A10" s="103"/>
    </row>
    <row r="11" ht="12.75">
      <c r="A11" s="103" t="s">
        <v>110</v>
      </c>
    </row>
    <row r="12" ht="12.75">
      <c r="A12" s="103" t="s">
        <v>103</v>
      </c>
    </row>
    <row r="13" ht="12.75">
      <c r="A13" s="103"/>
    </row>
    <row r="14" ht="12.75">
      <c r="A14" s="103" t="s">
        <v>112</v>
      </c>
    </row>
    <row r="15" ht="12.75">
      <c r="A15" s="103"/>
    </row>
    <row r="16" ht="12.75">
      <c r="A16" s="103" t="s">
        <v>104</v>
      </c>
    </row>
    <row r="17" ht="12.75">
      <c r="A17" s="103"/>
    </row>
    <row r="18" ht="12.75">
      <c r="A18" s="103" t="s">
        <v>105</v>
      </c>
    </row>
    <row r="19" ht="12.75">
      <c r="A19" s="103" t="s">
        <v>106</v>
      </c>
    </row>
    <row r="20" ht="12.75">
      <c r="A20" s="103"/>
    </row>
    <row r="21" ht="12.75">
      <c r="A21" s="103" t="s">
        <v>107</v>
      </c>
    </row>
    <row r="22" ht="12.75">
      <c r="A22" s="103"/>
    </row>
    <row r="23" ht="12.75">
      <c r="A23" s="103" t="s">
        <v>113</v>
      </c>
    </row>
    <row r="24" ht="12.75">
      <c r="A24" s="103" t="s">
        <v>114</v>
      </c>
    </row>
    <row r="25" ht="12.75">
      <c r="A25" s="103"/>
    </row>
    <row r="26" ht="12.75">
      <c r="A26" s="103" t="s">
        <v>115</v>
      </c>
    </row>
    <row r="27" ht="12.75">
      <c r="A27" s="103"/>
    </row>
    <row r="28" ht="13.5" thickBot="1">
      <c r="A28" s="104" t="s">
        <v>221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31"/>
  <sheetViews>
    <sheetView workbookViewId="0" topLeftCell="A1">
      <selection activeCell="G14" sqref="G14"/>
    </sheetView>
  </sheetViews>
  <sheetFormatPr defaultColWidth="9.140625" defaultRowHeight="12.75"/>
  <cols>
    <col min="1" max="1" width="4.8515625" style="0" bestFit="1" customWidth="1"/>
    <col min="2" max="2" width="45.421875" style="0" bestFit="1" customWidth="1"/>
  </cols>
  <sheetData>
    <row r="1" spans="1:3" ht="12.75">
      <c r="A1" s="105" t="s">
        <v>40</v>
      </c>
      <c r="B1" s="105" t="s">
        <v>42</v>
      </c>
      <c r="C1" s="105" t="s">
        <v>41</v>
      </c>
    </row>
    <row r="2" spans="1:3" ht="18">
      <c r="A2" s="106">
        <v>1</v>
      </c>
      <c r="B2" s="106" t="s">
        <v>117</v>
      </c>
      <c r="C2" s="106">
        <v>8947</v>
      </c>
    </row>
    <row r="3" spans="1:3" ht="18">
      <c r="A3" s="106">
        <v>2</v>
      </c>
      <c r="B3" s="106" t="s">
        <v>118</v>
      </c>
      <c r="C3" s="106">
        <v>6222</v>
      </c>
    </row>
    <row r="4" spans="1:3" ht="18">
      <c r="A4" s="106">
        <v>3</v>
      </c>
      <c r="B4" s="106" t="s">
        <v>119</v>
      </c>
      <c r="C4" s="106">
        <v>5536</v>
      </c>
    </row>
    <row r="5" spans="1:3" ht="18">
      <c r="A5" s="106">
        <v>4</v>
      </c>
      <c r="B5" s="106" t="s">
        <v>116</v>
      </c>
      <c r="C5" s="106"/>
    </row>
    <row r="6" spans="1:3" ht="18">
      <c r="A6" s="106">
        <v>5</v>
      </c>
      <c r="B6" s="106" t="s">
        <v>120</v>
      </c>
      <c r="C6" s="106">
        <v>2206</v>
      </c>
    </row>
    <row r="7" spans="1:3" ht="18">
      <c r="A7" s="106">
        <v>6</v>
      </c>
      <c r="B7" s="106" t="s">
        <v>141</v>
      </c>
      <c r="C7" s="106">
        <v>3927</v>
      </c>
    </row>
    <row r="8" spans="1:3" ht="18">
      <c r="A8" s="106">
        <v>7</v>
      </c>
      <c r="B8" s="106" t="s">
        <v>121</v>
      </c>
      <c r="C8" s="106">
        <v>7699</v>
      </c>
    </row>
    <row r="9" spans="1:3" ht="18">
      <c r="A9" s="106">
        <v>8</v>
      </c>
      <c r="B9" s="106" t="s">
        <v>122</v>
      </c>
      <c r="C9" s="106">
        <v>6373</v>
      </c>
    </row>
    <row r="10" spans="1:3" ht="18">
      <c r="A10" s="106">
        <v>9</v>
      </c>
      <c r="B10" s="106" t="s">
        <v>123</v>
      </c>
      <c r="C10" s="106">
        <v>6996</v>
      </c>
    </row>
    <row r="11" spans="1:3" ht="18">
      <c r="A11" s="106">
        <v>10</v>
      </c>
      <c r="B11" s="106" t="s">
        <v>124</v>
      </c>
      <c r="C11" s="106">
        <v>6134</v>
      </c>
    </row>
    <row r="12" spans="1:3" ht="18">
      <c r="A12" s="106">
        <v>11</v>
      </c>
      <c r="B12" s="106" t="s">
        <v>125</v>
      </c>
      <c r="C12" s="106">
        <v>3583</v>
      </c>
    </row>
    <row r="13" spans="1:3" ht="18">
      <c r="A13" s="106">
        <v>12</v>
      </c>
      <c r="B13" s="106" t="s">
        <v>126</v>
      </c>
      <c r="C13" s="106">
        <v>8949</v>
      </c>
    </row>
    <row r="14" spans="1:3" ht="18">
      <c r="A14" s="106">
        <v>13</v>
      </c>
      <c r="B14" s="106" t="s">
        <v>116</v>
      </c>
      <c r="C14" s="106"/>
    </row>
    <row r="15" spans="1:3" ht="18">
      <c r="A15" s="106">
        <v>14</v>
      </c>
      <c r="B15" s="106" t="s">
        <v>127</v>
      </c>
      <c r="C15" s="106">
        <v>6722</v>
      </c>
    </row>
    <row r="16" spans="1:3" ht="18">
      <c r="A16" s="106">
        <v>15</v>
      </c>
      <c r="B16" s="106" t="s">
        <v>128</v>
      </c>
      <c r="C16" s="106">
        <v>12440</v>
      </c>
    </row>
    <row r="17" spans="1:3" ht="18">
      <c r="A17" s="106">
        <v>16</v>
      </c>
      <c r="B17" s="106" t="s">
        <v>129</v>
      </c>
      <c r="C17" s="106">
        <v>4640</v>
      </c>
    </row>
    <row r="18" spans="1:3" ht="18">
      <c r="A18" s="106">
        <v>17</v>
      </c>
      <c r="B18" s="106" t="s">
        <v>130</v>
      </c>
      <c r="C18" s="106">
        <v>5820</v>
      </c>
    </row>
    <row r="19" spans="1:3" ht="18">
      <c r="A19" s="106">
        <v>18</v>
      </c>
      <c r="B19" s="106" t="s">
        <v>131</v>
      </c>
      <c r="C19" s="106">
        <v>7171</v>
      </c>
    </row>
    <row r="20" spans="1:3" ht="18">
      <c r="A20" s="106">
        <v>19</v>
      </c>
      <c r="B20" s="106" t="s">
        <v>132</v>
      </c>
      <c r="C20" s="106">
        <v>11271</v>
      </c>
    </row>
    <row r="21" spans="1:3" ht="18">
      <c r="A21" s="106">
        <v>20</v>
      </c>
      <c r="B21" s="106" t="s">
        <v>133</v>
      </c>
      <c r="C21" s="106">
        <v>8717</v>
      </c>
    </row>
    <row r="22" spans="1:3" ht="18">
      <c r="A22" s="106">
        <v>21</v>
      </c>
      <c r="B22" s="106" t="s">
        <v>134</v>
      </c>
      <c r="C22" s="106">
        <v>6949</v>
      </c>
    </row>
    <row r="23" spans="1:3" ht="18">
      <c r="A23" s="106">
        <v>22</v>
      </c>
      <c r="B23" s="106" t="s">
        <v>135</v>
      </c>
      <c r="C23" s="106">
        <v>6195</v>
      </c>
    </row>
    <row r="24" spans="1:3" ht="18">
      <c r="A24" s="106">
        <v>23</v>
      </c>
      <c r="B24" s="106" t="s">
        <v>136</v>
      </c>
      <c r="C24" s="106">
        <v>11561</v>
      </c>
    </row>
    <row r="25" spans="1:3" ht="18">
      <c r="A25" s="106">
        <v>24</v>
      </c>
      <c r="B25" s="106" t="s">
        <v>137</v>
      </c>
      <c r="C25" s="106">
        <v>8627</v>
      </c>
    </row>
    <row r="26" spans="1:3" ht="18">
      <c r="A26" s="106">
        <v>25</v>
      </c>
      <c r="B26" s="106" t="s">
        <v>138</v>
      </c>
      <c r="C26" s="106">
        <v>10934</v>
      </c>
    </row>
    <row r="27" spans="1:3" ht="18">
      <c r="A27" s="106">
        <v>26</v>
      </c>
      <c r="B27" s="106" t="s">
        <v>139</v>
      </c>
      <c r="C27" s="106">
        <v>9663</v>
      </c>
    </row>
    <row r="28" spans="1:3" ht="18">
      <c r="A28" s="106">
        <v>27</v>
      </c>
      <c r="B28" s="106" t="s">
        <v>219</v>
      </c>
      <c r="C28" s="106">
        <v>3447</v>
      </c>
    </row>
    <row r="29" spans="1:3" ht="18">
      <c r="A29" s="106">
        <v>28</v>
      </c>
      <c r="B29" s="106" t="s">
        <v>116</v>
      </c>
      <c r="C29" s="106"/>
    </row>
    <row r="30" spans="1:3" ht="18">
      <c r="A30" s="106">
        <v>29</v>
      </c>
      <c r="B30" s="106" t="s">
        <v>116</v>
      </c>
      <c r="C30" s="106"/>
    </row>
    <row r="31" spans="1:3" ht="18">
      <c r="A31" s="106">
        <v>30</v>
      </c>
      <c r="B31" s="106" t="s">
        <v>116</v>
      </c>
      <c r="C31" s="106"/>
    </row>
  </sheetData>
  <printOptions horizontalCentered="1" verticalCentered="1"/>
  <pageMargins left="0.5" right="0.5" top="0.25" bottom="0.25" header="0.5" footer="0.5"/>
  <pageSetup horizontalDpi="600" verticalDpi="600" orientation="portrait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P11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" sqref="C4"/>
    </sheetView>
  </sheetViews>
  <sheetFormatPr defaultColWidth="9.140625" defaultRowHeight="12.75"/>
  <cols>
    <col min="1" max="1" width="6.421875" style="0" bestFit="1" customWidth="1"/>
    <col min="2" max="2" width="6.140625" style="0" bestFit="1" customWidth="1"/>
    <col min="3" max="3" width="5.00390625" style="0" bestFit="1" customWidth="1"/>
    <col min="4" max="4" width="25.140625" style="0" customWidth="1"/>
    <col min="5" max="5" width="5.00390625" style="0" bestFit="1" customWidth="1"/>
    <col min="6" max="6" width="6.28125" style="0" bestFit="1" customWidth="1"/>
    <col min="7" max="7" width="8.7109375" style="0" bestFit="1" customWidth="1"/>
    <col min="8" max="8" width="11.8515625" style="0" bestFit="1" customWidth="1"/>
    <col min="9" max="9" width="6.57421875" style="0" bestFit="1" customWidth="1"/>
    <col min="10" max="10" width="10.28125" style="0" bestFit="1" customWidth="1"/>
    <col min="11" max="11" width="6.8515625" style="0" bestFit="1" customWidth="1"/>
    <col min="12" max="12" width="7.421875" style="0" customWidth="1"/>
    <col min="13" max="13" width="7.57421875" style="0" bestFit="1" customWidth="1"/>
    <col min="14" max="14" width="8.28125" style="0" customWidth="1"/>
    <col min="15" max="15" width="10.140625" style="0" bestFit="1" customWidth="1"/>
  </cols>
  <sheetData>
    <row r="1" spans="1:16" ht="12.75">
      <c r="A1" s="85" t="s">
        <v>71</v>
      </c>
      <c r="B1" s="85" t="s">
        <v>72</v>
      </c>
      <c r="C1" s="85" t="s">
        <v>40</v>
      </c>
      <c r="D1" s="86" t="s">
        <v>73</v>
      </c>
      <c r="E1" s="85" t="s">
        <v>74</v>
      </c>
      <c r="F1" s="85" t="s">
        <v>68</v>
      </c>
      <c r="G1" s="85" t="s">
        <v>75</v>
      </c>
      <c r="H1" s="85" t="s">
        <v>76</v>
      </c>
      <c r="I1" s="85" t="s">
        <v>77</v>
      </c>
      <c r="J1" s="85" t="s">
        <v>78</v>
      </c>
      <c r="K1" s="9" t="s">
        <v>85</v>
      </c>
      <c r="L1" s="9" t="s">
        <v>86</v>
      </c>
      <c r="M1" s="9" t="s">
        <v>87</v>
      </c>
      <c r="N1" s="51" t="s">
        <v>88</v>
      </c>
      <c r="O1" s="99">
        <v>40839</v>
      </c>
      <c r="P1" t="s">
        <v>99</v>
      </c>
    </row>
    <row r="2" spans="1:16" ht="12.75">
      <c r="A2" s="69">
        <v>1</v>
      </c>
      <c r="B2" s="69" t="s">
        <v>79</v>
      </c>
      <c r="C2" s="87">
        <v>10</v>
      </c>
      <c r="D2" s="88" t="str">
        <f>IF(C2&gt;0,INDEX(Teams!B$2:B$31,C2),"")</f>
        <v>Lightning Bots</v>
      </c>
      <c r="E2" s="69">
        <f>IF(C2&gt;0,COUNTIF(C$2:C2,C2),"")</f>
        <v>1</v>
      </c>
      <c r="F2" s="70">
        <f ca="1">IF(C2&gt;0,OFFSET(TeamsData!$C$1,C2,E2),"")</f>
        <v>124</v>
      </c>
      <c r="G2" s="89">
        <f>O2+L2</f>
        <v>0.5625</v>
      </c>
      <c r="H2" s="90"/>
      <c r="I2" s="90"/>
      <c r="J2" s="91">
        <f ca="1">IF(F2&lt;&gt;"","",G2+$O$1-NOW())</f>
      </c>
      <c r="K2" s="93" t="s">
        <v>89</v>
      </c>
      <c r="L2" s="94">
        <f>M2/1440</f>
        <v>0</v>
      </c>
      <c r="M2" s="95"/>
      <c r="N2" s="51" t="s">
        <v>90</v>
      </c>
      <c r="O2" s="100">
        <v>0.5625</v>
      </c>
      <c r="P2" t="str">
        <f>C2&amp;"R"&amp;E2</f>
        <v>10R1</v>
      </c>
    </row>
    <row r="3" spans="1:16" ht="12.75">
      <c r="A3" s="69">
        <v>1</v>
      </c>
      <c r="B3" s="69" t="s">
        <v>80</v>
      </c>
      <c r="C3" s="87">
        <v>26</v>
      </c>
      <c r="D3" s="88" t="str">
        <f>IF(C3&gt;0,INDEX(Teams!B$2:B$31,C3),"")</f>
        <v>Xtreme Creators</v>
      </c>
      <c r="E3" s="69">
        <f>IF(C3&gt;0,COUNTIF(C$2:C3,C3),"")</f>
        <v>1</v>
      </c>
      <c r="F3" s="70">
        <f ca="1">IF(C3&gt;0,OFFSET(TeamsData!$C$1,C3,E3),"")</f>
        <v>80</v>
      </c>
      <c r="G3" s="92">
        <f>IF(H2&gt;0,H2+L3,G2+L3)</f>
        <v>0.5625</v>
      </c>
      <c r="H3" s="90"/>
      <c r="I3" s="90"/>
      <c r="J3" s="91">
        <f aca="true" ca="1" t="shared" si="0" ref="J3:J66">IF(F3&lt;&gt;"","",G3+$O$1-NOW())</f>
      </c>
      <c r="K3" s="93"/>
      <c r="L3" s="96">
        <f aca="true" t="shared" si="1" ref="L3:L66">IF(A3=A2,0,O$3+M3/1440)</f>
        <v>0</v>
      </c>
      <c r="M3" s="97"/>
      <c r="N3" s="51" t="s">
        <v>91</v>
      </c>
      <c r="O3" s="101">
        <v>0.0024305555555555556</v>
      </c>
      <c r="P3" t="str">
        <f aca="true" t="shared" si="2" ref="P3:P66">C3&amp;"R"&amp;E3</f>
        <v>26R1</v>
      </c>
    </row>
    <row r="4" spans="1:16" ht="12.75">
      <c r="A4" s="69">
        <f aca="true" t="shared" si="3" ref="A4:A67">A2+1</f>
        <v>2</v>
      </c>
      <c r="B4" s="69" t="s">
        <v>81</v>
      </c>
      <c r="C4" s="87">
        <v>19</v>
      </c>
      <c r="D4" s="88" t="str">
        <f>IF(C4&gt;0,INDEX(Teams!B$2:B$31,C4),"")</f>
        <v>Robot-Arbiters</v>
      </c>
      <c r="E4" s="69">
        <f>IF(C4&gt;0,COUNTIF(C$2:C4,C4),"")</f>
        <v>1</v>
      </c>
      <c r="F4" s="70">
        <f ca="1">IF(C4&gt;0,OFFSET(TeamsData!$C$1,C4,E4),"")</f>
        <v>111</v>
      </c>
      <c r="G4" s="92">
        <f aca="true" t="shared" si="4" ref="G4:G67">IF(H3&gt;0,H3+L4,G3+L4)</f>
        <v>0.5649305555555556</v>
      </c>
      <c r="H4" s="90"/>
      <c r="I4" s="90"/>
      <c r="J4" s="91">
        <f ca="1" t="shared" si="0"/>
      </c>
      <c r="K4" s="93"/>
      <c r="L4" s="96">
        <f t="shared" si="1"/>
        <v>0.0024305555555555556</v>
      </c>
      <c r="M4" s="97"/>
      <c r="N4" t="s">
        <v>92</v>
      </c>
      <c r="P4" t="str">
        <f t="shared" si="2"/>
        <v>19R1</v>
      </c>
    </row>
    <row r="5" spans="1:16" ht="12.75">
      <c r="A5" s="69">
        <f t="shared" si="3"/>
        <v>2</v>
      </c>
      <c r="B5" s="69" t="s">
        <v>82</v>
      </c>
      <c r="C5" s="87">
        <v>14</v>
      </c>
      <c r="D5" s="88" t="str">
        <f>IF(C5&gt;0,INDEX(Teams!B$2:B$31,C5),"")</f>
        <v>Mysterious Skeleton Squirrels</v>
      </c>
      <c r="E5" s="69">
        <f>IF(C5&gt;0,COUNTIF(C$2:C5,C5),"")</f>
        <v>1</v>
      </c>
      <c r="F5" s="70">
        <f ca="1">IF(C5&gt;0,OFFSET(TeamsData!$C$1,C5,E5),"")</f>
        <v>97</v>
      </c>
      <c r="G5" s="92">
        <f t="shared" si="4"/>
        <v>0.5649305555555556</v>
      </c>
      <c r="H5" s="90"/>
      <c r="I5" s="90"/>
      <c r="J5" s="91">
        <f ca="1" t="shared" si="0"/>
      </c>
      <c r="K5" s="93"/>
      <c r="L5" s="96">
        <f t="shared" si="1"/>
        <v>0</v>
      </c>
      <c r="M5" s="97"/>
      <c r="N5" t="s">
        <v>93</v>
      </c>
      <c r="P5" t="str">
        <f t="shared" si="2"/>
        <v>14R1</v>
      </c>
    </row>
    <row r="6" spans="1:16" ht="12.75">
      <c r="A6" s="69">
        <f t="shared" si="3"/>
        <v>3</v>
      </c>
      <c r="B6" s="69" t="s">
        <v>83</v>
      </c>
      <c r="C6" s="87">
        <v>3</v>
      </c>
      <c r="D6" s="88" t="str">
        <f>IF(C6&gt;0,INDEX(Teams!B$2:B$31,C6),"")</f>
        <v>Eaglebots</v>
      </c>
      <c r="E6" s="69">
        <f>IF(C6&gt;0,COUNTIF(C$2:C6,C6),"")</f>
        <v>1</v>
      </c>
      <c r="F6" s="70">
        <f ca="1">IF(C6&gt;0,OFFSET(TeamsData!$C$1,C6,E6),"")</f>
        <v>85</v>
      </c>
      <c r="G6" s="92">
        <f t="shared" si="4"/>
        <v>0.5673611111111112</v>
      </c>
      <c r="H6" s="90"/>
      <c r="I6" s="90"/>
      <c r="J6" s="91">
        <f ca="1" t="shared" si="0"/>
      </c>
      <c r="K6" s="93"/>
      <c r="L6" s="96">
        <f t="shared" si="1"/>
        <v>0.0024305555555555556</v>
      </c>
      <c r="M6" s="98"/>
      <c r="N6" t="s">
        <v>94</v>
      </c>
      <c r="P6" t="str">
        <f t="shared" si="2"/>
        <v>3R1</v>
      </c>
    </row>
    <row r="7" spans="1:16" ht="12.75">
      <c r="A7" s="69">
        <f t="shared" si="3"/>
        <v>3</v>
      </c>
      <c r="B7" s="69" t="s">
        <v>84</v>
      </c>
      <c r="C7" s="87">
        <v>17</v>
      </c>
      <c r="D7" s="88" t="str">
        <f>IF(C7&gt;0,INDEX(Teams!B$2:B$31,C7),"")</f>
        <v>Peaceful Programmers</v>
      </c>
      <c r="E7" s="69">
        <f>IF(C7&gt;0,COUNTIF(C$2:C7,C7),"")</f>
        <v>1</v>
      </c>
      <c r="F7" s="70">
        <f ca="1">IF(C7&gt;0,OFFSET(TeamsData!$C$1,C7,E7),"")</f>
        <v>107</v>
      </c>
      <c r="G7" s="92">
        <f t="shared" si="4"/>
        <v>0.5673611111111112</v>
      </c>
      <c r="H7" s="90"/>
      <c r="I7" s="90"/>
      <c r="J7" s="91">
        <f ca="1" t="shared" si="0"/>
      </c>
      <c r="K7" s="93"/>
      <c r="L7" s="96">
        <f t="shared" si="1"/>
        <v>0</v>
      </c>
      <c r="M7" s="97"/>
      <c r="N7" t="s">
        <v>95</v>
      </c>
      <c r="P7" t="str">
        <f t="shared" si="2"/>
        <v>17R1</v>
      </c>
    </row>
    <row r="8" spans="1:16" ht="12.75">
      <c r="A8" s="69">
        <f t="shared" si="3"/>
        <v>4</v>
      </c>
      <c r="B8" s="69" t="str">
        <f aca="true" t="shared" si="5" ref="B8:B71">B2</f>
        <v>A1</v>
      </c>
      <c r="C8" s="87">
        <v>5</v>
      </c>
      <c r="D8" s="88" t="str">
        <f>IF(C8&gt;0,INDEX(Teams!B$2:B$31,C8),"")</f>
        <v>Gutbusters</v>
      </c>
      <c r="E8" s="69">
        <f>IF(C8&gt;0,COUNTIF(C$2:C8,C8),"")</f>
        <v>1</v>
      </c>
      <c r="F8" s="70">
        <f ca="1">IF(C8&gt;0,OFFSET(TeamsData!$C$1,C8,E8),"")</f>
        <v>74</v>
      </c>
      <c r="G8" s="92">
        <f t="shared" si="4"/>
        <v>0.5697916666666668</v>
      </c>
      <c r="H8" s="90"/>
      <c r="I8" s="90"/>
      <c r="J8" s="91">
        <f ca="1" t="shared" si="0"/>
      </c>
      <c r="L8" s="96">
        <f t="shared" si="1"/>
        <v>0.0024305555555555556</v>
      </c>
      <c r="P8" t="str">
        <f t="shared" si="2"/>
        <v>5R1</v>
      </c>
    </row>
    <row r="9" spans="1:16" ht="12.75">
      <c r="A9" s="69">
        <f t="shared" si="3"/>
        <v>4</v>
      </c>
      <c r="B9" s="69" t="str">
        <f t="shared" si="5"/>
        <v>A2</v>
      </c>
      <c r="C9" s="87">
        <v>16</v>
      </c>
      <c r="D9" s="88" t="str">
        <f>IF(C9&gt;0,INDEX(Teams!B$2:B$31,C9),"")</f>
        <v>N-Knacks-T</v>
      </c>
      <c r="E9" s="69">
        <f>IF(C9&gt;0,COUNTIF(C$2:C9,C9),"")</f>
        <v>1</v>
      </c>
      <c r="F9" s="70">
        <f ca="1">IF(C9&gt;0,OFFSET(TeamsData!$C$1,C9,E9),"")</f>
        <v>61</v>
      </c>
      <c r="G9" s="92">
        <f t="shared" si="4"/>
        <v>0.5697916666666668</v>
      </c>
      <c r="H9" s="90"/>
      <c r="I9" s="90"/>
      <c r="J9" s="91">
        <f ca="1" t="shared" si="0"/>
      </c>
      <c r="L9" s="96">
        <f t="shared" si="1"/>
        <v>0</v>
      </c>
      <c r="P9" t="str">
        <f t="shared" si="2"/>
        <v>16R1</v>
      </c>
    </row>
    <row r="10" spans="1:16" ht="12.75">
      <c r="A10" s="69">
        <f t="shared" si="3"/>
        <v>5</v>
      </c>
      <c r="B10" s="69" t="str">
        <f t="shared" si="5"/>
        <v>B1</v>
      </c>
      <c r="C10" s="87">
        <v>9</v>
      </c>
      <c r="D10" s="88" t="str">
        <f>IF(C10&gt;0,INDEX(Teams!B$2:B$31,C10),"")</f>
        <v>Lego Lightning</v>
      </c>
      <c r="E10" s="69">
        <f>IF(C10&gt;0,COUNTIF(C$2:C10,C10),"")</f>
        <v>1</v>
      </c>
      <c r="F10" s="70">
        <f ca="1">IF(C10&gt;0,OFFSET(TeamsData!$C$1,C10,E10),"")</f>
        <v>107</v>
      </c>
      <c r="G10" s="92">
        <f t="shared" si="4"/>
        <v>0.5722222222222224</v>
      </c>
      <c r="H10" s="90"/>
      <c r="I10" s="90"/>
      <c r="J10" s="91">
        <f ca="1" t="shared" si="0"/>
      </c>
      <c r="L10" s="96">
        <f t="shared" si="1"/>
        <v>0.0024305555555555556</v>
      </c>
      <c r="N10" t="s">
        <v>96</v>
      </c>
      <c r="P10" t="str">
        <f t="shared" si="2"/>
        <v>9R1</v>
      </c>
    </row>
    <row r="11" spans="1:16" ht="12.75">
      <c r="A11" s="69">
        <f t="shared" si="3"/>
        <v>5</v>
      </c>
      <c r="B11" s="69" t="str">
        <f t="shared" si="5"/>
        <v>B2</v>
      </c>
      <c r="C11" s="87">
        <v>22</v>
      </c>
      <c r="D11" s="88" t="str">
        <f>IF(C11&gt;0,INDEX(Teams!B$2:B$31,C11),"")</f>
        <v>SAPP0WER4</v>
      </c>
      <c r="E11" s="69">
        <f>IF(C11&gt;0,COUNTIF(C$2:C11,C11),"")</f>
        <v>1</v>
      </c>
      <c r="F11" s="70">
        <f ca="1">IF(C11&gt;0,OFFSET(TeamsData!$C$1,C11,E11),"")</f>
        <v>86</v>
      </c>
      <c r="G11" s="92">
        <f t="shared" si="4"/>
        <v>0.5722222222222224</v>
      </c>
      <c r="H11" s="90"/>
      <c r="I11" s="90"/>
      <c r="J11" s="91">
        <f ca="1" t="shared" si="0"/>
      </c>
      <c r="L11" s="96">
        <f t="shared" si="1"/>
        <v>0</v>
      </c>
      <c r="N11" t="s">
        <v>97</v>
      </c>
      <c r="P11" t="str">
        <f t="shared" si="2"/>
        <v>22R1</v>
      </c>
    </row>
    <row r="12" spans="1:16" ht="12.75">
      <c r="A12" s="69">
        <f t="shared" si="3"/>
        <v>6</v>
      </c>
      <c r="B12" s="69" t="str">
        <f t="shared" si="5"/>
        <v>C1</v>
      </c>
      <c r="C12" s="87">
        <v>18</v>
      </c>
      <c r="D12" s="88" t="str">
        <f>IF(C12&gt;0,INDEX(Teams!B$2:B$31,C12),"")</f>
        <v>robokids</v>
      </c>
      <c r="E12" s="69">
        <f>IF(C12&gt;0,COUNTIF(C$2:C12,C12),"")</f>
        <v>1</v>
      </c>
      <c r="F12" s="70">
        <f ca="1">IF(C12&gt;0,OFFSET(TeamsData!$C$1,C12,E12),"")</f>
        <v>93</v>
      </c>
      <c r="G12" s="92">
        <f t="shared" si="4"/>
        <v>0.574652777777778</v>
      </c>
      <c r="H12" s="90"/>
      <c r="I12" s="90"/>
      <c r="J12" s="91">
        <f ca="1" t="shared" si="0"/>
      </c>
      <c r="L12" s="96">
        <f t="shared" si="1"/>
        <v>0.0024305555555555556</v>
      </c>
      <c r="N12" t="s">
        <v>98</v>
      </c>
      <c r="P12" t="str">
        <f t="shared" si="2"/>
        <v>18R1</v>
      </c>
    </row>
    <row r="13" spans="1:16" ht="12.75">
      <c r="A13" s="69">
        <f t="shared" si="3"/>
        <v>6</v>
      </c>
      <c r="B13" s="69" t="str">
        <f t="shared" si="5"/>
        <v>C2</v>
      </c>
      <c r="C13" s="87">
        <v>11</v>
      </c>
      <c r="D13" s="88" t="str">
        <f>IF(C13&gt;0,INDEX(Teams!B$2:B$31,C13),"")</f>
        <v>Mat Scientists</v>
      </c>
      <c r="E13" s="69">
        <f>IF(C13&gt;0,COUNTIF(C$2:C13,C13),"")</f>
        <v>1</v>
      </c>
      <c r="F13" s="70">
        <f ca="1">IF(C13&gt;0,OFFSET(TeamsData!$C$1,C13,E13),"")</f>
        <v>87</v>
      </c>
      <c r="G13" s="92">
        <f t="shared" si="4"/>
        <v>0.574652777777778</v>
      </c>
      <c r="H13" s="90"/>
      <c r="I13" s="90"/>
      <c r="J13" s="91">
        <f ca="1" t="shared" si="0"/>
      </c>
      <c r="L13" s="96">
        <f t="shared" si="1"/>
        <v>0</v>
      </c>
      <c r="P13" t="str">
        <f t="shared" si="2"/>
        <v>11R1</v>
      </c>
    </row>
    <row r="14" spans="1:16" ht="12.75">
      <c r="A14" s="69">
        <f t="shared" si="3"/>
        <v>7</v>
      </c>
      <c r="B14" s="69" t="str">
        <f t="shared" si="5"/>
        <v>A1</v>
      </c>
      <c r="C14" s="87">
        <v>15</v>
      </c>
      <c r="D14" s="88" t="str">
        <f>IF(C14&gt;0,INDEX(Teams!B$2:B$31,C14),"")</f>
        <v>Nano-bugs</v>
      </c>
      <c r="E14" s="69">
        <f>IF(C14&gt;0,COUNTIF(C$2:C14,C14),"")</f>
        <v>1</v>
      </c>
      <c r="F14" s="70">
        <f ca="1">IF(C14&gt;0,OFFSET(TeamsData!$C$1,C14,E14),"")</f>
        <v>54</v>
      </c>
      <c r="G14" s="92">
        <f t="shared" si="4"/>
        <v>0.5770833333333336</v>
      </c>
      <c r="H14" s="90"/>
      <c r="I14" s="90"/>
      <c r="J14" s="91">
        <f ca="1" t="shared" si="0"/>
      </c>
      <c r="L14" s="96">
        <f t="shared" si="1"/>
        <v>0.0024305555555555556</v>
      </c>
      <c r="P14" t="str">
        <f t="shared" si="2"/>
        <v>15R1</v>
      </c>
    </row>
    <row r="15" spans="1:16" ht="12.75">
      <c r="A15" s="69">
        <f t="shared" si="3"/>
        <v>7</v>
      </c>
      <c r="B15" s="69" t="str">
        <f t="shared" si="5"/>
        <v>A2</v>
      </c>
      <c r="C15" s="87">
        <v>12</v>
      </c>
      <c r="D15" s="88" t="str">
        <f>IF(C15&gt;0,INDEX(Teams!B$2:B$31,C15),"")</f>
        <v>Mechanxt</v>
      </c>
      <c r="E15" s="69">
        <f>IF(C15&gt;0,COUNTIF(C$2:C15,C15),"")</f>
        <v>1</v>
      </c>
      <c r="F15" s="70">
        <f ca="1">IF(C15&gt;0,OFFSET(TeamsData!$C$1,C15,E15),"")</f>
        <v>109</v>
      </c>
      <c r="G15" s="92">
        <f t="shared" si="4"/>
        <v>0.5770833333333336</v>
      </c>
      <c r="H15" s="90"/>
      <c r="I15" s="90"/>
      <c r="J15" s="91">
        <f ca="1" t="shared" si="0"/>
      </c>
      <c r="L15" s="96">
        <f t="shared" si="1"/>
        <v>0</v>
      </c>
      <c r="P15" t="str">
        <f t="shared" si="2"/>
        <v>12R1</v>
      </c>
    </row>
    <row r="16" spans="1:16" ht="12.75">
      <c r="A16" s="69">
        <f t="shared" si="3"/>
        <v>8</v>
      </c>
      <c r="B16" s="69" t="str">
        <f t="shared" si="5"/>
        <v>B1</v>
      </c>
      <c r="C16" s="87">
        <v>2</v>
      </c>
      <c r="D16" s="88" t="str">
        <f>IF(C16&gt;0,INDEX(Teams!B$2:B$31,C16),"")</f>
        <v>Adroits</v>
      </c>
      <c r="E16" s="69">
        <f>IF(C16&gt;0,COUNTIF(C$2:C16,C16),"")</f>
        <v>1</v>
      </c>
      <c r="F16" s="70">
        <f ca="1">IF(C16&gt;0,OFFSET(TeamsData!$C$1,C16,E16),"")</f>
        <v>70</v>
      </c>
      <c r="G16" s="92">
        <f t="shared" si="4"/>
        <v>0.5795138888888892</v>
      </c>
      <c r="H16" s="90"/>
      <c r="I16" s="90"/>
      <c r="J16" s="91">
        <f ca="1" t="shared" si="0"/>
      </c>
      <c r="L16" s="96">
        <f t="shared" si="1"/>
        <v>0.0024305555555555556</v>
      </c>
      <c r="P16" t="str">
        <f t="shared" si="2"/>
        <v>2R1</v>
      </c>
    </row>
    <row r="17" spans="1:16" ht="12.75">
      <c r="A17" s="69">
        <f t="shared" si="3"/>
        <v>8</v>
      </c>
      <c r="B17" s="69" t="str">
        <f t="shared" si="5"/>
        <v>B2</v>
      </c>
      <c r="C17" s="87">
        <v>20</v>
      </c>
      <c r="D17" s="88" t="str">
        <f>IF(C17&gt;0,INDEX(Teams!B$2:B$31,C17),"")</f>
        <v>Robotic Ravioli</v>
      </c>
      <c r="E17" s="69">
        <f>IF(C17&gt;0,COUNTIF(C$2:C17,C17),"")</f>
        <v>1</v>
      </c>
      <c r="F17" s="70">
        <f ca="1">IF(C17&gt;0,OFFSET(TeamsData!$C$1,C17,E17),"")</f>
        <v>83</v>
      </c>
      <c r="G17" s="92">
        <f t="shared" si="4"/>
        <v>0.5795138888888892</v>
      </c>
      <c r="H17" s="90"/>
      <c r="I17" s="90"/>
      <c r="J17" s="91">
        <f ca="1" t="shared" si="0"/>
      </c>
      <c r="L17" s="96">
        <f t="shared" si="1"/>
        <v>0</v>
      </c>
      <c r="P17" t="str">
        <f t="shared" si="2"/>
        <v>20R1</v>
      </c>
    </row>
    <row r="18" spans="1:16" ht="12.75">
      <c r="A18" s="69">
        <f t="shared" si="3"/>
        <v>9</v>
      </c>
      <c r="B18" s="69" t="str">
        <f t="shared" si="5"/>
        <v>C1</v>
      </c>
      <c r="C18" s="87">
        <v>6</v>
      </c>
      <c r="D18" s="88" t="str">
        <f>IF(C18&gt;0,INDEX(Teams!B$2:B$31,C18),"")</f>
        <v>Hazardous Waste</v>
      </c>
      <c r="E18" s="69">
        <f>IF(C18&gt;0,COUNTIF(C$2:C18,C18),"")</f>
        <v>1</v>
      </c>
      <c r="F18" s="70">
        <f ca="1">IF(C18&gt;0,OFFSET(TeamsData!$C$1,C18,E18),"")</f>
        <v>93</v>
      </c>
      <c r="G18" s="92">
        <f t="shared" si="4"/>
        <v>0.5819444444444448</v>
      </c>
      <c r="H18" s="90"/>
      <c r="I18" s="90"/>
      <c r="J18" s="91">
        <f ca="1" t="shared" si="0"/>
      </c>
      <c r="L18" s="96">
        <f t="shared" si="1"/>
        <v>0.0024305555555555556</v>
      </c>
      <c r="P18" t="str">
        <f t="shared" si="2"/>
        <v>6R1</v>
      </c>
    </row>
    <row r="19" spans="1:16" ht="12.75">
      <c r="A19" s="69">
        <f t="shared" si="3"/>
        <v>9</v>
      </c>
      <c r="B19" s="69" t="str">
        <f t="shared" si="5"/>
        <v>C2</v>
      </c>
      <c r="C19" s="87">
        <v>7</v>
      </c>
      <c r="D19" s="88" t="str">
        <f>IF(C19&gt;0,INDEX(Teams!B$2:B$31,C19),"")</f>
        <v>JOACK</v>
      </c>
      <c r="E19" s="69">
        <f>IF(C19&gt;0,COUNTIF(C$2:C19,C19),"")</f>
        <v>1</v>
      </c>
      <c r="F19" s="70">
        <f ca="1">IF(C19&gt;0,OFFSET(TeamsData!$C$1,C19,E19),"")</f>
        <v>82</v>
      </c>
      <c r="G19" s="92">
        <f t="shared" si="4"/>
        <v>0.5819444444444448</v>
      </c>
      <c r="H19" s="90"/>
      <c r="I19" s="90"/>
      <c r="J19" s="91">
        <f ca="1" t="shared" si="0"/>
      </c>
      <c r="L19" s="96">
        <f t="shared" si="1"/>
        <v>0</v>
      </c>
      <c r="P19" t="str">
        <f t="shared" si="2"/>
        <v>7R1</v>
      </c>
    </row>
    <row r="20" spans="1:16" ht="12.75">
      <c r="A20" s="69">
        <f t="shared" si="3"/>
        <v>10</v>
      </c>
      <c r="B20" s="69" t="str">
        <f t="shared" si="5"/>
        <v>A1</v>
      </c>
      <c r="C20" s="87">
        <v>25</v>
      </c>
      <c r="D20" s="88" t="str">
        <f>IF(C20&gt;0,INDEX(Teams!B$2:B$31,C20),"")</f>
        <v>Vikings</v>
      </c>
      <c r="E20" s="69">
        <f>IF(C20&gt;0,COUNTIF(C$2:C20,C20),"")</f>
        <v>1</v>
      </c>
      <c r="F20" s="70">
        <f ca="1">IF(C20&gt;0,OFFSET(TeamsData!$C$1,C20,E20),"")</f>
        <v>79</v>
      </c>
      <c r="G20" s="92">
        <f t="shared" si="4"/>
        <v>0.5843750000000004</v>
      </c>
      <c r="H20" s="90"/>
      <c r="I20" s="90"/>
      <c r="J20" s="91">
        <f ca="1" t="shared" si="0"/>
      </c>
      <c r="L20" s="96">
        <f t="shared" si="1"/>
        <v>0.0024305555555555556</v>
      </c>
      <c r="P20" t="str">
        <f t="shared" si="2"/>
        <v>25R1</v>
      </c>
    </row>
    <row r="21" spans="1:16" ht="12.75">
      <c r="A21" s="69">
        <f t="shared" si="3"/>
        <v>10</v>
      </c>
      <c r="B21" s="69" t="str">
        <f t="shared" si="5"/>
        <v>A2</v>
      </c>
      <c r="C21" s="87">
        <v>1</v>
      </c>
      <c r="D21" s="88" t="str">
        <f>IF(C21&gt;0,INDEX(Teams!B$2:B$31,C21),"")</f>
        <v>40 Loyola SAPlings</v>
      </c>
      <c r="E21" s="69">
        <f>IF(C21&gt;0,COUNTIF(C$2:C21,C21),"")</f>
        <v>1</v>
      </c>
      <c r="F21" s="70">
        <f ca="1">IF(C21&gt;0,OFFSET(TeamsData!$C$1,C21,E21),"")</f>
        <v>103</v>
      </c>
      <c r="G21" s="92">
        <f t="shared" si="4"/>
        <v>0.5843750000000004</v>
      </c>
      <c r="H21" s="90"/>
      <c r="I21" s="90"/>
      <c r="J21" s="91">
        <f ca="1" t="shared" si="0"/>
      </c>
      <c r="L21" s="96">
        <f t="shared" si="1"/>
        <v>0</v>
      </c>
      <c r="P21" t="str">
        <f t="shared" si="2"/>
        <v>1R1</v>
      </c>
    </row>
    <row r="22" spans="1:16" ht="12.75">
      <c r="A22" s="69">
        <f t="shared" si="3"/>
        <v>11</v>
      </c>
      <c r="B22" s="69" t="str">
        <f t="shared" si="5"/>
        <v>B1</v>
      </c>
      <c r="C22" s="87">
        <v>23</v>
      </c>
      <c r="D22" s="88" t="str">
        <f>IF(C22&gt;0,INDEX(Teams!B$2:B$31,C22),"")</f>
        <v>Smart Cookies</v>
      </c>
      <c r="E22" s="69">
        <f>IF(C22&gt;0,COUNTIF(C$2:C22,C22),"")</f>
        <v>1</v>
      </c>
      <c r="F22" s="70">
        <f ca="1">IF(C22&gt;0,OFFSET(TeamsData!$C$1,C22,E22),"")</f>
        <v>57</v>
      </c>
      <c r="G22" s="92">
        <f t="shared" si="4"/>
        <v>0.586805555555556</v>
      </c>
      <c r="H22" s="90"/>
      <c r="I22" s="90"/>
      <c r="J22" s="91">
        <f ca="1" t="shared" si="0"/>
      </c>
      <c r="L22" s="96">
        <f t="shared" si="1"/>
        <v>0.0024305555555555556</v>
      </c>
      <c r="P22" t="str">
        <f t="shared" si="2"/>
        <v>23R1</v>
      </c>
    </row>
    <row r="23" spans="1:16" ht="12.75">
      <c r="A23" s="69">
        <f t="shared" si="3"/>
        <v>11</v>
      </c>
      <c r="B23" s="69" t="str">
        <f t="shared" si="5"/>
        <v>B2</v>
      </c>
      <c r="C23" s="87">
        <v>24</v>
      </c>
      <c r="D23" s="88" t="str">
        <f>IF(C23&gt;0,INDEX(Teams!B$2:B$31,C23),"")</f>
        <v>The Other Team Again</v>
      </c>
      <c r="E23" s="69">
        <f>IF(C23&gt;0,COUNTIF(C$2:C23,C23),"")</f>
        <v>1</v>
      </c>
      <c r="F23" s="70">
        <f ca="1">IF(C23&gt;0,OFFSET(TeamsData!$C$1,C23,E23),"")</f>
        <v>154</v>
      </c>
      <c r="G23" s="92">
        <f t="shared" si="4"/>
        <v>0.586805555555556</v>
      </c>
      <c r="H23" s="90"/>
      <c r="I23" s="90"/>
      <c r="J23" s="91">
        <f ca="1" t="shared" si="0"/>
      </c>
      <c r="L23" s="96">
        <f t="shared" si="1"/>
        <v>0</v>
      </c>
      <c r="P23" t="str">
        <f t="shared" si="2"/>
        <v>24R1</v>
      </c>
    </row>
    <row r="24" spans="1:16" ht="12.75">
      <c r="A24" s="69">
        <f t="shared" si="3"/>
        <v>12</v>
      </c>
      <c r="B24" s="69" t="str">
        <f t="shared" si="5"/>
        <v>C1</v>
      </c>
      <c r="C24" s="87">
        <v>21</v>
      </c>
      <c r="D24" s="88" t="str">
        <f>IF(C24&gt;0,INDEX(Teams!B$2:B$31,C24),"")</f>
        <v>SAP Explorers</v>
      </c>
      <c r="E24" s="69">
        <f>IF(C24&gt;0,COUNTIF(C$2:C24,C24),"")</f>
        <v>1</v>
      </c>
      <c r="F24" s="70">
        <f ca="1">IF(C24&gt;0,OFFSET(TeamsData!$C$1,C24,E24),"")</f>
        <v>75</v>
      </c>
      <c r="G24" s="92">
        <f t="shared" si="4"/>
        <v>0.5892361111111116</v>
      </c>
      <c r="H24" s="90"/>
      <c r="I24" s="90"/>
      <c r="J24" s="91">
        <f ca="1" t="shared" si="0"/>
      </c>
      <c r="L24" s="96">
        <f t="shared" si="1"/>
        <v>0.0024305555555555556</v>
      </c>
      <c r="P24" t="str">
        <f t="shared" si="2"/>
        <v>21R1</v>
      </c>
    </row>
    <row r="25" spans="1:16" ht="12.75">
      <c r="A25" s="69">
        <f t="shared" si="3"/>
        <v>12</v>
      </c>
      <c r="B25" s="69" t="str">
        <f t="shared" si="5"/>
        <v>C2</v>
      </c>
      <c r="C25" s="87">
        <v>8</v>
      </c>
      <c r="D25" s="88" t="str">
        <f>IF(C25&gt;0,INDEX(Teams!B$2:B$31,C25),"")</f>
        <v>Kung Food</v>
      </c>
      <c r="E25" s="69">
        <f>IF(C25&gt;0,COUNTIF(C$2:C25,C25),"")</f>
        <v>1</v>
      </c>
      <c r="F25" s="70">
        <f ca="1">IF(C25&gt;0,OFFSET(TeamsData!$C$1,C25,E25),"")</f>
        <v>82</v>
      </c>
      <c r="G25" s="92">
        <f t="shared" si="4"/>
        <v>0.5892361111111116</v>
      </c>
      <c r="H25" s="90"/>
      <c r="I25" s="90"/>
      <c r="J25" s="91">
        <f ca="1" t="shared" si="0"/>
      </c>
      <c r="L25" s="96">
        <f t="shared" si="1"/>
        <v>0</v>
      </c>
      <c r="P25" t="str">
        <f t="shared" si="2"/>
        <v>8R1</v>
      </c>
    </row>
    <row r="26" spans="1:16" ht="12.75">
      <c r="A26" s="69">
        <f t="shared" si="3"/>
        <v>13</v>
      </c>
      <c r="B26" s="69" t="str">
        <f t="shared" si="5"/>
        <v>A1</v>
      </c>
      <c r="C26" s="87">
        <v>26</v>
      </c>
      <c r="D26" s="88" t="str">
        <f>IF(C26&gt;0,INDEX(Teams!B$2:B$31,C26),"")</f>
        <v>Xtreme Creators</v>
      </c>
      <c r="E26" s="69">
        <f>IF(C26&gt;0,COUNTIF(C$2:C26,C26),"")</f>
        <v>2</v>
      </c>
      <c r="F26" s="70">
        <f ca="1">IF(C26&gt;0,OFFSET(TeamsData!$C$1,C26,E26),"")</f>
        <v>76</v>
      </c>
      <c r="G26" s="92">
        <f t="shared" si="4"/>
        <v>0.5916666666666672</v>
      </c>
      <c r="H26" s="90"/>
      <c r="I26" s="90"/>
      <c r="J26" s="91">
        <f ca="1" t="shared" si="0"/>
      </c>
      <c r="L26" s="96">
        <f t="shared" si="1"/>
        <v>0.0024305555555555556</v>
      </c>
      <c r="P26" t="str">
        <f t="shared" si="2"/>
        <v>26R2</v>
      </c>
    </row>
    <row r="27" spans="1:16" ht="12.75">
      <c r="A27" s="69">
        <f t="shared" si="3"/>
        <v>13</v>
      </c>
      <c r="B27" s="69" t="str">
        <f t="shared" si="5"/>
        <v>A2</v>
      </c>
      <c r="C27" s="87">
        <v>5</v>
      </c>
      <c r="D27" s="88" t="str">
        <f>IF(C27&gt;0,INDEX(Teams!B$2:B$31,C27),"")</f>
        <v>Gutbusters</v>
      </c>
      <c r="E27" s="69">
        <f>IF(C27&gt;0,COUNTIF(C$2:C27,C27),"")</f>
        <v>2</v>
      </c>
      <c r="F27" s="70">
        <f ca="1">IF(C27&gt;0,OFFSET(TeamsData!$C$1,C27,E27),"")</f>
        <v>87</v>
      </c>
      <c r="G27" s="92">
        <f t="shared" si="4"/>
        <v>0.5916666666666672</v>
      </c>
      <c r="H27" s="90"/>
      <c r="I27" s="90"/>
      <c r="J27" s="91">
        <f ca="1" t="shared" si="0"/>
      </c>
      <c r="L27" s="96">
        <f t="shared" si="1"/>
        <v>0</v>
      </c>
      <c r="P27" t="str">
        <f t="shared" si="2"/>
        <v>5R2</v>
      </c>
    </row>
    <row r="28" spans="1:16" ht="12.75">
      <c r="A28" s="69">
        <f t="shared" si="3"/>
        <v>14</v>
      </c>
      <c r="B28" s="69" t="str">
        <f t="shared" si="5"/>
        <v>B1</v>
      </c>
      <c r="C28" s="87">
        <v>16</v>
      </c>
      <c r="D28" s="88" t="str">
        <f>IF(C28&gt;0,INDEX(Teams!B$2:B$31,C28),"")</f>
        <v>N-Knacks-T</v>
      </c>
      <c r="E28" s="69">
        <f>IF(C28&gt;0,COUNTIF(C$2:C28,C28),"")</f>
        <v>2</v>
      </c>
      <c r="F28" s="70">
        <f ca="1">IF(C28&gt;0,OFFSET(TeamsData!$C$1,C28,E28),"")</f>
        <v>101</v>
      </c>
      <c r="G28" s="92">
        <f t="shared" si="4"/>
        <v>0.5940972222222228</v>
      </c>
      <c r="H28" s="90"/>
      <c r="I28" s="90"/>
      <c r="J28" s="91">
        <f ca="1" t="shared" si="0"/>
      </c>
      <c r="L28" s="96">
        <f t="shared" si="1"/>
        <v>0.0024305555555555556</v>
      </c>
      <c r="P28" t="str">
        <f t="shared" si="2"/>
        <v>16R2</v>
      </c>
    </row>
    <row r="29" spans="1:16" ht="12.75">
      <c r="A29" s="69">
        <f t="shared" si="3"/>
        <v>14</v>
      </c>
      <c r="B29" s="69" t="str">
        <f t="shared" si="5"/>
        <v>B2</v>
      </c>
      <c r="C29" s="87">
        <v>10</v>
      </c>
      <c r="D29" s="88" t="str">
        <f>IF(C29&gt;0,INDEX(Teams!B$2:B$31,C29),"")</f>
        <v>Lightning Bots</v>
      </c>
      <c r="E29" s="69">
        <f>IF(C29&gt;0,COUNTIF(C$2:C29,C29),"")</f>
        <v>2</v>
      </c>
      <c r="F29" s="70">
        <f ca="1">IF(C29&gt;0,OFFSET(TeamsData!$C$1,C29,E29),"")</f>
        <v>114</v>
      </c>
      <c r="G29" s="92">
        <f t="shared" si="4"/>
        <v>0.5940972222222228</v>
      </c>
      <c r="H29" s="90"/>
      <c r="I29" s="90"/>
      <c r="J29" s="91">
        <f ca="1" t="shared" si="0"/>
      </c>
      <c r="L29" s="96">
        <f t="shared" si="1"/>
        <v>0</v>
      </c>
      <c r="P29" t="str">
        <f t="shared" si="2"/>
        <v>10R2</v>
      </c>
    </row>
    <row r="30" spans="1:16" ht="12.75">
      <c r="A30" s="69">
        <f t="shared" si="3"/>
        <v>15</v>
      </c>
      <c r="B30" s="69" t="str">
        <f t="shared" si="5"/>
        <v>C1</v>
      </c>
      <c r="C30" s="87">
        <v>17</v>
      </c>
      <c r="D30" s="88" t="str">
        <f>IF(C30&gt;0,INDEX(Teams!B$2:B$31,C30),"")</f>
        <v>Peaceful Programmers</v>
      </c>
      <c r="E30" s="69">
        <f>IF(C30&gt;0,COUNTIF(C$2:C30,C30),"")</f>
        <v>2</v>
      </c>
      <c r="F30" s="70">
        <f ca="1">IF(C30&gt;0,OFFSET(TeamsData!$C$1,C30,E30),"")</f>
        <v>124</v>
      </c>
      <c r="G30" s="92">
        <f t="shared" si="4"/>
        <v>0.5965277777777784</v>
      </c>
      <c r="H30" s="90"/>
      <c r="I30" s="90"/>
      <c r="J30" s="91">
        <f ca="1" t="shared" si="0"/>
      </c>
      <c r="L30" s="96">
        <f t="shared" si="1"/>
        <v>0.0024305555555555556</v>
      </c>
      <c r="P30" t="str">
        <f t="shared" si="2"/>
        <v>17R2</v>
      </c>
    </row>
    <row r="31" spans="1:16" ht="12.75">
      <c r="A31" s="69">
        <f t="shared" si="3"/>
        <v>15</v>
      </c>
      <c r="B31" s="69" t="str">
        <f t="shared" si="5"/>
        <v>C2</v>
      </c>
      <c r="C31" s="87">
        <v>14</v>
      </c>
      <c r="D31" s="88" t="str">
        <f>IF(C31&gt;0,INDEX(Teams!B$2:B$31,C31),"")</f>
        <v>Mysterious Skeleton Squirrels</v>
      </c>
      <c r="E31" s="69">
        <f>IF(C31&gt;0,COUNTIF(C$2:C31,C31),"")</f>
        <v>2</v>
      </c>
      <c r="F31" s="70">
        <f ca="1">IF(C31&gt;0,OFFSET(TeamsData!$C$1,C31,E31),"")</f>
        <v>72</v>
      </c>
      <c r="G31" s="92">
        <f t="shared" si="4"/>
        <v>0.5965277777777784</v>
      </c>
      <c r="H31" s="90"/>
      <c r="I31" s="90"/>
      <c r="J31" s="91">
        <f ca="1" t="shared" si="0"/>
      </c>
      <c r="L31" s="96">
        <f t="shared" si="1"/>
        <v>0</v>
      </c>
      <c r="P31" t="str">
        <f t="shared" si="2"/>
        <v>14R2</v>
      </c>
    </row>
    <row r="32" spans="1:16" ht="12.75">
      <c r="A32" s="69">
        <f t="shared" si="3"/>
        <v>16</v>
      </c>
      <c r="B32" s="69" t="str">
        <f t="shared" si="5"/>
        <v>A1</v>
      </c>
      <c r="C32" s="87">
        <v>19</v>
      </c>
      <c r="D32" s="88" t="str">
        <f>IF(C32&gt;0,INDEX(Teams!B$2:B$31,C32),"")</f>
        <v>Robot-Arbiters</v>
      </c>
      <c r="E32" s="69">
        <f>IF(C32&gt;0,COUNTIF(C$2:C32,C32),"")</f>
        <v>2</v>
      </c>
      <c r="F32" s="70">
        <f ca="1">IF(C32&gt;0,OFFSET(TeamsData!$C$1,C32,E32),"")</f>
        <v>90</v>
      </c>
      <c r="G32" s="92">
        <f t="shared" si="4"/>
        <v>0.598958333333334</v>
      </c>
      <c r="H32" s="90"/>
      <c r="I32" s="90"/>
      <c r="J32" s="91">
        <f ca="1" t="shared" si="0"/>
      </c>
      <c r="L32" s="96">
        <f t="shared" si="1"/>
        <v>0.0024305555555555556</v>
      </c>
      <c r="P32" t="str">
        <f t="shared" si="2"/>
        <v>19R2</v>
      </c>
    </row>
    <row r="33" spans="1:16" ht="12.75">
      <c r="A33" s="69">
        <f t="shared" si="3"/>
        <v>16</v>
      </c>
      <c r="B33" s="69" t="str">
        <f t="shared" si="5"/>
        <v>A2</v>
      </c>
      <c r="C33" s="87">
        <v>7</v>
      </c>
      <c r="D33" s="88" t="str">
        <f>IF(C33&gt;0,INDEX(Teams!B$2:B$31,C33),"")</f>
        <v>JOACK</v>
      </c>
      <c r="E33" s="69">
        <f>IF(C33&gt;0,COUNTIF(C$2:C33,C33),"")</f>
        <v>2</v>
      </c>
      <c r="F33" s="70">
        <f ca="1">IF(C33&gt;0,OFFSET(TeamsData!$C$1,C33,E33),"")</f>
        <v>132</v>
      </c>
      <c r="G33" s="92">
        <f t="shared" si="4"/>
        <v>0.598958333333334</v>
      </c>
      <c r="H33" s="90"/>
      <c r="I33" s="90"/>
      <c r="J33" s="91">
        <f ca="1" t="shared" si="0"/>
      </c>
      <c r="L33" s="96">
        <f t="shared" si="1"/>
        <v>0</v>
      </c>
      <c r="P33" t="str">
        <f t="shared" si="2"/>
        <v>7R2</v>
      </c>
    </row>
    <row r="34" spans="1:16" ht="12.75">
      <c r="A34" s="69">
        <f t="shared" si="3"/>
        <v>17</v>
      </c>
      <c r="B34" s="69" t="str">
        <f t="shared" si="5"/>
        <v>B1</v>
      </c>
      <c r="C34" s="87">
        <v>3</v>
      </c>
      <c r="D34" s="88" t="str">
        <f>IF(C34&gt;0,INDEX(Teams!B$2:B$31,C34),"")</f>
        <v>Eaglebots</v>
      </c>
      <c r="E34" s="69">
        <f>IF(C34&gt;0,COUNTIF(C$2:C34,C34),"")</f>
        <v>2</v>
      </c>
      <c r="F34" s="70">
        <f ca="1">IF(C34&gt;0,OFFSET(TeamsData!$C$1,C34,E34),"")</f>
        <v>185</v>
      </c>
      <c r="G34" s="92">
        <f t="shared" si="4"/>
        <v>0.6013888888888896</v>
      </c>
      <c r="H34" s="90"/>
      <c r="I34" s="90"/>
      <c r="J34" s="91">
        <f ca="1" t="shared" si="0"/>
      </c>
      <c r="L34" s="96">
        <f t="shared" si="1"/>
        <v>0.0024305555555555556</v>
      </c>
      <c r="P34" t="str">
        <f t="shared" si="2"/>
        <v>3R2</v>
      </c>
    </row>
    <row r="35" spans="1:16" ht="12.75">
      <c r="A35" s="69">
        <f t="shared" si="3"/>
        <v>17</v>
      </c>
      <c r="B35" s="69" t="str">
        <f t="shared" si="5"/>
        <v>B2</v>
      </c>
      <c r="C35" s="87">
        <v>11</v>
      </c>
      <c r="D35" s="88" t="str">
        <f>IF(C35&gt;0,INDEX(Teams!B$2:B$31,C35),"")</f>
        <v>Mat Scientists</v>
      </c>
      <c r="E35" s="69">
        <f>IF(C35&gt;0,COUNTIF(C$2:C35,C35),"")</f>
        <v>2</v>
      </c>
      <c r="F35" s="70">
        <f ca="1">IF(C35&gt;0,OFFSET(TeamsData!$C$1,C35,E35),"")</f>
        <v>82</v>
      </c>
      <c r="G35" s="92">
        <f t="shared" si="4"/>
        <v>0.6013888888888896</v>
      </c>
      <c r="H35" s="90"/>
      <c r="I35" s="90"/>
      <c r="J35" s="91">
        <f ca="1" t="shared" si="0"/>
      </c>
      <c r="L35" s="96">
        <f t="shared" si="1"/>
        <v>0</v>
      </c>
      <c r="P35" t="str">
        <f t="shared" si="2"/>
        <v>11R2</v>
      </c>
    </row>
    <row r="36" spans="1:16" ht="12.75">
      <c r="A36" s="69">
        <f t="shared" si="3"/>
        <v>18</v>
      </c>
      <c r="B36" s="69" t="str">
        <f t="shared" si="5"/>
        <v>C1</v>
      </c>
      <c r="C36" s="87">
        <v>27</v>
      </c>
      <c r="D36" s="88" t="str">
        <f>IF(C36&gt;0,INDEX(Teams!B$2:B$31,C36),"")</f>
        <v>Robotics space girls</v>
      </c>
      <c r="E36" s="69">
        <f>IF(C36&gt;0,COUNTIF(C$2:C36,C36),"")</f>
        <v>1</v>
      </c>
      <c r="F36" s="70">
        <f ca="1">IF(C36&gt;0,OFFSET(TeamsData!$C$1,C36,E36),"")</f>
        <v>58</v>
      </c>
      <c r="G36" s="92">
        <f t="shared" si="4"/>
        <v>0.6107638888888897</v>
      </c>
      <c r="H36" s="90"/>
      <c r="I36" s="90"/>
      <c r="J36" s="91">
        <f ca="1" t="shared" si="0"/>
      </c>
      <c r="L36" s="96">
        <f t="shared" si="1"/>
        <v>0.009375</v>
      </c>
      <c r="M36">
        <v>10</v>
      </c>
      <c r="P36" t="str">
        <f t="shared" si="2"/>
        <v>27R1</v>
      </c>
    </row>
    <row r="37" spans="1:16" ht="12.75">
      <c r="A37" s="69">
        <f t="shared" si="3"/>
        <v>18</v>
      </c>
      <c r="B37" s="69" t="str">
        <f t="shared" si="5"/>
        <v>C2</v>
      </c>
      <c r="C37" s="87">
        <v>15</v>
      </c>
      <c r="D37" s="88" t="str">
        <f>IF(C37&gt;0,INDEX(Teams!B$2:B$31,C37),"")</f>
        <v>Nano-bugs</v>
      </c>
      <c r="E37" s="69">
        <f>IF(C37&gt;0,COUNTIF(C$2:C37,C37),"")</f>
        <v>2</v>
      </c>
      <c r="F37" s="70">
        <f ca="1">IF(C37&gt;0,OFFSET(TeamsData!$C$1,C37,E37),"")</f>
        <v>74</v>
      </c>
      <c r="G37" s="92">
        <f t="shared" si="4"/>
        <v>0.6107638888888897</v>
      </c>
      <c r="H37" s="90"/>
      <c r="I37" s="90"/>
      <c r="J37" s="91">
        <f ca="1" t="shared" si="0"/>
      </c>
      <c r="L37" s="96">
        <f t="shared" si="1"/>
        <v>0</v>
      </c>
      <c r="P37" t="str">
        <f t="shared" si="2"/>
        <v>15R2</v>
      </c>
    </row>
    <row r="38" spans="1:16" ht="12.75">
      <c r="A38" s="69">
        <f t="shared" si="3"/>
        <v>19</v>
      </c>
      <c r="B38" s="69" t="str">
        <f t="shared" si="5"/>
        <v>A1</v>
      </c>
      <c r="C38" s="87">
        <v>22</v>
      </c>
      <c r="D38" s="88" t="str">
        <f>IF(C38&gt;0,INDEX(Teams!B$2:B$31,C38),"")</f>
        <v>SAPP0WER4</v>
      </c>
      <c r="E38" s="69">
        <f>IF(C38&gt;0,COUNTIF(C$2:C38,C38),"")</f>
        <v>2</v>
      </c>
      <c r="F38" s="70">
        <f ca="1">IF(C38&gt;0,OFFSET(TeamsData!$C$1,C38,E38),"")</f>
        <v>86</v>
      </c>
      <c r="G38" s="92">
        <f t="shared" si="4"/>
        <v>0.6131944444444453</v>
      </c>
      <c r="H38" s="90"/>
      <c r="I38" s="90"/>
      <c r="J38" s="91">
        <f ca="1" t="shared" si="0"/>
      </c>
      <c r="L38" s="96">
        <f t="shared" si="1"/>
        <v>0.0024305555555555556</v>
      </c>
      <c r="P38" t="str">
        <f t="shared" si="2"/>
        <v>22R2</v>
      </c>
    </row>
    <row r="39" spans="1:16" ht="12.75">
      <c r="A39" s="69">
        <f t="shared" si="3"/>
        <v>19</v>
      </c>
      <c r="B39" s="69" t="str">
        <f t="shared" si="5"/>
        <v>A2</v>
      </c>
      <c r="C39" s="87">
        <v>9</v>
      </c>
      <c r="D39" s="88" t="str">
        <f>IF(C39&gt;0,INDEX(Teams!B$2:B$31,C39),"")</f>
        <v>Lego Lightning</v>
      </c>
      <c r="E39" s="69">
        <f>IF(C39&gt;0,COUNTIF(C$2:C39,C39),"")</f>
        <v>2</v>
      </c>
      <c r="F39" s="70">
        <f ca="1">IF(C39&gt;0,OFFSET(TeamsData!$C$1,C39,E39),"")</f>
        <v>81</v>
      </c>
      <c r="G39" s="92">
        <f t="shared" si="4"/>
        <v>0.6131944444444453</v>
      </c>
      <c r="H39" s="90"/>
      <c r="I39" s="90"/>
      <c r="J39" s="91">
        <f ca="1" t="shared" si="0"/>
      </c>
      <c r="L39" s="96">
        <f t="shared" si="1"/>
        <v>0</v>
      </c>
      <c r="P39" t="str">
        <f t="shared" si="2"/>
        <v>9R2</v>
      </c>
    </row>
    <row r="40" spans="1:16" ht="12.75">
      <c r="A40" s="69">
        <f t="shared" si="3"/>
        <v>20</v>
      </c>
      <c r="B40" s="69" t="str">
        <f t="shared" si="5"/>
        <v>B1</v>
      </c>
      <c r="C40" s="87">
        <v>12</v>
      </c>
      <c r="D40" s="88" t="str">
        <f>IF(C40&gt;0,INDEX(Teams!B$2:B$31,C40),"")</f>
        <v>Mechanxt</v>
      </c>
      <c r="E40" s="69">
        <f>IF(C40&gt;0,COUNTIF(C$2:C40,C40),"")</f>
        <v>2</v>
      </c>
      <c r="F40" s="70">
        <f ca="1">IF(C40&gt;0,OFFSET(TeamsData!$C$1,C40,E40),"")</f>
        <v>78</v>
      </c>
      <c r="G40" s="92">
        <f t="shared" si="4"/>
        <v>0.6156250000000009</v>
      </c>
      <c r="H40" s="90"/>
      <c r="I40" s="90"/>
      <c r="J40" s="91">
        <f ca="1" t="shared" si="0"/>
      </c>
      <c r="L40" s="96">
        <f t="shared" si="1"/>
        <v>0.0024305555555555556</v>
      </c>
      <c r="P40" t="str">
        <f t="shared" si="2"/>
        <v>12R2</v>
      </c>
    </row>
    <row r="41" spans="1:16" ht="12.75">
      <c r="A41" s="69">
        <f t="shared" si="3"/>
        <v>20</v>
      </c>
      <c r="B41" s="69" t="str">
        <f t="shared" si="5"/>
        <v>B2</v>
      </c>
      <c r="C41" s="87">
        <v>6</v>
      </c>
      <c r="D41" s="88" t="str">
        <f>IF(C41&gt;0,INDEX(Teams!B$2:B$31,C41),"")</f>
        <v>Hazardous Waste</v>
      </c>
      <c r="E41" s="69">
        <f>IF(C41&gt;0,COUNTIF(C$2:C41,C41),"")</f>
        <v>2</v>
      </c>
      <c r="F41" s="70">
        <f ca="1">IF(C41&gt;0,OFFSET(TeamsData!$C$1,C41,E41),"")</f>
        <v>64</v>
      </c>
      <c r="G41" s="92">
        <f t="shared" si="4"/>
        <v>0.6156250000000009</v>
      </c>
      <c r="H41" s="90"/>
      <c r="I41" s="90"/>
      <c r="J41" s="91">
        <f ca="1" t="shared" si="0"/>
      </c>
      <c r="L41" s="96">
        <f t="shared" si="1"/>
        <v>0</v>
      </c>
      <c r="P41" t="str">
        <f t="shared" si="2"/>
        <v>6R2</v>
      </c>
    </row>
    <row r="42" spans="1:16" ht="12.75">
      <c r="A42" s="69">
        <f t="shared" si="3"/>
        <v>21</v>
      </c>
      <c r="B42" s="69" t="str">
        <f t="shared" si="5"/>
        <v>C1</v>
      </c>
      <c r="C42" s="87">
        <v>2</v>
      </c>
      <c r="D42" s="88" t="str">
        <f>IF(C42&gt;0,INDEX(Teams!B$2:B$31,C42),"")</f>
        <v>Adroits</v>
      </c>
      <c r="E42" s="69">
        <f>IF(C42&gt;0,COUNTIF(C$2:C42,C42),"")</f>
        <v>2</v>
      </c>
      <c r="F42" s="70">
        <f ca="1">IF(C42&gt;0,OFFSET(TeamsData!$C$1,C42,E42),"")</f>
        <v>85</v>
      </c>
      <c r="G42" s="92">
        <f t="shared" si="4"/>
        <v>0.6180555555555565</v>
      </c>
      <c r="H42" s="90"/>
      <c r="I42" s="90"/>
      <c r="J42" s="91">
        <f ca="1" t="shared" si="0"/>
      </c>
      <c r="L42" s="96">
        <f t="shared" si="1"/>
        <v>0.0024305555555555556</v>
      </c>
      <c r="P42" t="str">
        <f t="shared" si="2"/>
        <v>2R2</v>
      </c>
    </row>
    <row r="43" spans="1:16" ht="12.75">
      <c r="A43" s="69">
        <f t="shared" si="3"/>
        <v>21</v>
      </c>
      <c r="B43" s="69" t="str">
        <f t="shared" si="5"/>
        <v>C2</v>
      </c>
      <c r="C43" s="87">
        <v>20</v>
      </c>
      <c r="D43" s="88" t="str">
        <f>IF(C43&gt;0,INDEX(Teams!B$2:B$31,C43),"")</f>
        <v>Robotic Ravioli</v>
      </c>
      <c r="E43" s="69">
        <f>IF(C43&gt;0,COUNTIF(C$2:C43,C43),"")</f>
        <v>2</v>
      </c>
      <c r="F43" s="70">
        <f ca="1">IF(C43&gt;0,OFFSET(TeamsData!$C$1,C43,E43),"")</f>
        <v>100</v>
      </c>
      <c r="G43" s="92">
        <f t="shared" si="4"/>
        <v>0.6180555555555565</v>
      </c>
      <c r="H43" s="90"/>
      <c r="I43" s="90"/>
      <c r="J43" s="91">
        <f ca="1" t="shared" si="0"/>
      </c>
      <c r="L43" s="96">
        <f t="shared" si="1"/>
        <v>0</v>
      </c>
      <c r="P43" t="str">
        <f t="shared" si="2"/>
        <v>20R2</v>
      </c>
    </row>
    <row r="44" spans="1:16" ht="12.75">
      <c r="A44" s="69">
        <f t="shared" si="3"/>
        <v>22</v>
      </c>
      <c r="B44" s="69" t="str">
        <f t="shared" si="5"/>
        <v>A1</v>
      </c>
      <c r="C44" s="87">
        <v>25</v>
      </c>
      <c r="D44" s="88" t="str">
        <f>IF(C44&gt;0,INDEX(Teams!B$2:B$31,C44),"")</f>
        <v>Vikings</v>
      </c>
      <c r="E44" s="69">
        <f>IF(C44&gt;0,COUNTIF(C$2:C44,C44),"")</f>
        <v>2</v>
      </c>
      <c r="F44" s="70">
        <f ca="1">IF(C44&gt;0,OFFSET(TeamsData!$C$1,C44,E44),"")</f>
        <v>111</v>
      </c>
      <c r="G44" s="92">
        <f t="shared" si="4"/>
        <v>0.6204861111111121</v>
      </c>
      <c r="H44" s="90"/>
      <c r="I44" s="90"/>
      <c r="J44" s="91">
        <f ca="1" t="shared" si="0"/>
      </c>
      <c r="L44" s="96">
        <f t="shared" si="1"/>
        <v>0.0024305555555555556</v>
      </c>
      <c r="P44" t="str">
        <f t="shared" si="2"/>
        <v>25R2</v>
      </c>
    </row>
    <row r="45" spans="1:16" ht="12.75">
      <c r="A45" s="69">
        <f t="shared" si="3"/>
        <v>22</v>
      </c>
      <c r="B45" s="69" t="str">
        <f t="shared" si="5"/>
        <v>A2</v>
      </c>
      <c r="C45" s="87">
        <v>23</v>
      </c>
      <c r="D45" s="88" t="str">
        <f>IF(C45&gt;0,INDEX(Teams!B$2:B$31,C45),"")</f>
        <v>Smart Cookies</v>
      </c>
      <c r="E45" s="69">
        <f>IF(C45&gt;0,COUNTIF(C$2:C45,C45),"")</f>
        <v>2</v>
      </c>
      <c r="F45" s="70">
        <f ca="1">IF(C45&gt;0,OFFSET(TeamsData!$C$1,C45,E45),"")</f>
        <v>69</v>
      </c>
      <c r="G45" s="92">
        <f t="shared" si="4"/>
        <v>0.6204861111111121</v>
      </c>
      <c r="H45" s="90"/>
      <c r="I45" s="90"/>
      <c r="J45" s="91">
        <f ca="1" t="shared" si="0"/>
      </c>
      <c r="L45" s="96">
        <f t="shared" si="1"/>
        <v>0</v>
      </c>
      <c r="P45" t="str">
        <f t="shared" si="2"/>
        <v>23R2</v>
      </c>
    </row>
    <row r="46" spans="1:16" ht="12.75">
      <c r="A46" s="69">
        <f t="shared" si="3"/>
        <v>23</v>
      </c>
      <c r="B46" s="69" t="str">
        <f t="shared" si="5"/>
        <v>B1</v>
      </c>
      <c r="C46" s="87">
        <v>8</v>
      </c>
      <c r="D46" s="88" t="str">
        <f>IF(C46&gt;0,INDEX(Teams!B$2:B$31,C46),"")</f>
        <v>Kung Food</v>
      </c>
      <c r="E46" s="69">
        <f>IF(C46&gt;0,COUNTIF(C$2:C46,C46),"")</f>
        <v>2</v>
      </c>
      <c r="F46" s="70">
        <f ca="1">IF(C46&gt;0,OFFSET(TeamsData!$C$1,C46,E46),"")</f>
        <v>97</v>
      </c>
      <c r="G46" s="92">
        <f t="shared" si="4"/>
        <v>0.6229166666666677</v>
      </c>
      <c r="H46" s="90"/>
      <c r="I46" s="90"/>
      <c r="J46" s="91">
        <f ca="1" t="shared" si="0"/>
      </c>
      <c r="L46" s="96">
        <f t="shared" si="1"/>
        <v>0.0024305555555555556</v>
      </c>
      <c r="P46" t="str">
        <f t="shared" si="2"/>
        <v>8R2</v>
      </c>
    </row>
    <row r="47" spans="1:16" ht="12.75">
      <c r="A47" s="69">
        <f t="shared" si="3"/>
        <v>23</v>
      </c>
      <c r="B47" s="69" t="str">
        <f t="shared" si="5"/>
        <v>B2</v>
      </c>
      <c r="C47" s="87">
        <v>24</v>
      </c>
      <c r="D47" s="88" t="str">
        <f>IF(C47&gt;0,INDEX(Teams!B$2:B$31,C47),"")</f>
        <v>The Other Team Again</v>
      </c>
      <c r="E47" s="69">
        <f>IF(C47&gt;0,COUNTIF(C$2:C47,C47),"")</f>
        <v>2</v>
      </c>
      <c r="F47" s="70">
        <f ca="1">IF(C47&gt;0,OFFSET(TeamsData!$C$1,C47,E47),"")</f>
        <v>147</v>
      </c>
      <c r="G47" s="92">
        <f t="shared" si="4"/>
        <v>0.6229166666666677</v>
      </c>
      <c r="H47" s="90"/>
      <c r="I47" s="90"/>
      <c r="J47" s="91">
        <f ca="1" t="shared" si="0"/>
      </c>
      <c r="L47" s="96">
        <f t="shared" si="1"/>
        <v>0</v>
      </c>
      <c r="P47" t="str">
        <f t="shared" si="2"/>
        <v>24R2</v>
      </c>
    </row>
    <row r="48" spans="1:16" ht="12.75">
      <c r="A48" s="69">
        <f t="shared" si="3"/>
        <v>24</v>
      </c>
      <c r="B48" s="69" t="str">
        <f t="shared" si="5"/>
        <v>C1</v>
      </c>
      <c r="C48" s="87">
        <v>18</v>
      </c>
      <c r="D48" s="88" t="str">
        <f>IF(C48&gt;0,INDEX(Teams!B$2:B$31,C48),"")</f>
        <v>robokids</v>
      </c>
      <c r="E48" s="69">
        <f>IF(C48&gt;0,COUNTIF(C$2:C48,C48),"")</f>
        <v>2</v>
      </c>
      <c r="F48" s="70">
        <f ca="1">IF(C48&gt;0,OFFSET(TeamsData!$C$1,C48,E48),"")</f>
        <v>87</v>
      </c>
      <c r="G48" s="92">
        <f t="shared" si="4"/>
        <v>0.6253472222222233</v>
      </c>
      <c r="H48" s="90"/>
      <c r="I48" s="90"/>
      <c r="J48" s="91">
        <f ca="1" t="shared" si="0"/>
      </c>
      <c r="L48" s="96">
        <f t="shared" si="1"/>
        <v>0.0024305555555555556</v>
      </c>
      <c r="P48" t="str">
        <f t="shared" si="2"/>
        <v>18R2</v>
      </c>
    </row>
    <row r="49" spans="1:16" ht="12.75">
      <c r="A49" s="69">
        <f t="shared" si="3"/>
        <v>24</v>
      </c>
      <c r="B49" s="69" t="str">
        <f t="shared" si="5"/>
        <v>C2</v>
      </c>
      <c r="C49" s="87">
        <v>21</v>
      </c>
      <c r="D49" s="88" t="str">
        <f>IF(C49&gt;0,INDEX(Teams!B$2:B$31,C49),"")</f>
        <v>SAP Explorers</v>
      </c>
      <c r="E49" s="69">
        <f>IF(C49&gt;0,COUNTIF(C$2:C49,C49),"")</f>
        <v>2</v>
      </c>
      <c r="F49" s="70">
        <f ca="1">IF(C49&gt;0,OFFSET(TeamsData!$C$1,C49,E49),"")</f>
        <v>96</v>
      </c>
      <c r="G49" s="92">
        <f t="shared" si="4"/>
        <v>0.6253472222222233</v>
      </c>
      <c r="H49" s="90"/>
      <c r="I49" s="90"/>
      <c r="J49" s="91">
        <f ca="1" t="shared" si="0"/>
      </c>
      <c r="L49" s="96">
        <f t="shared" si="1"/>
        <v>0</v>
      </c>
      <c r="P49" t="str">
        <f t="shared" si="2"/>
        <v>21R2</v>
      </c>
    </row>
    <row r="50" spans="1:16" ht="12.75">
      <c r="A50" s="69">
        <f t="shared" si="3"/>
        <v>25</v>
      </c>
      <c r="B50" s="69" t="str">
        <f t="shared" si="5"/>
        <v>A1</v>
      </c>
      <c r="C50" s="87">
        <v>16</v>
      </c>
      <c r="D50" s="88" t="str">
        <f>IF(C50&gt;0,INDEX(Teams!B$2:B$31,C50),"")</f>
        <v>N-Knacks-T</v>
      </c>
      <c r="E50" s="69">
        <f>IF(C50&gt;0,COUNTIF(C$2:C50,C50),"")</f>
        <v>3</v>
      </c>
      <c r="F50" s="70">
        <f ca="1">IF(C50&gt;0,OFFSET(TeamsData!$C$1,C50,E50),"")</f>
        <v>73</v>
      </c>
      <c r="G50" s="92">
        <f t="shared" si="4"/>
        <v>0.6277777777777789</v>
      </c>
      <c r="H50" s="90"/>
      <c r="I50" s="90"/>
      <c r="J50" s="91">
        <f ca="1" t="shared" si="0"/>
      </c>
      <c r="L50" s="96">
        <f t="shared" si="1"/>
        <v>0.0024305555555555556</v>
      </c>
      <c r="P50" t="str">
        <f t="shared" si="2"/>
        <v>16R3</v>
      </c>
    </row>
    <row r="51" spans="1:16" ht="12.75">
      <c r="A51" s="69">
        <f t="shared" si="3"/>
        <v>25</v>
      </c>
      <c r="B51" s="69" t="str">
        <f t="shared" si="5"/>
        <v>A2</v>
      </c>
      <c r="C51" s="87">
        <v>5</v>
      </c>
      <c r="D51" s="88" t="str">
        <f>IF(C51&gt;0,INDEX(Teams!B$2:B$31,C51),"")</f>
        <v>Gutbusters</v>
      </c>
      <c r="E51" s="69">
        <f>IF(C51&gt;0,COUNTIF(C$2:C51,C51),"")</f>
        <v>3</v>
      </c>
      <c r="F51" s="70">
        <f ca="1">IF(C51&gt;0,OFFSET(TeamsData!$C$1,C51,E51),"")</f>
        <v>126</v>
      </c>
      <c r="G51" s="92">
        <f t="shared" si="4"/>
        <v>0.6277777777777789</v>
      </c>
      <c r="H51" s="90"/>
      <c r="I51" s="90"/>
      <c r="J51" s="91">
        <f ca="1" t="shared" si="0"/>
      </c>
      <c r="L51" s="96">
        <f t="shared" si="1"/>
        <v>0</v>
      </c>
      <c r="P51" t="str">
        <f t="shared" si="2"/>
        <v>5R3</v>
      </c>
    </row>
    <row r="52" spans="1:16" ht="12.75">
      <c r="A52" s="69">
        <f t="shared" si="3"/>
        <v>26</v>
      </c>
      <c r="B52" s="69" t="str">
        <f t="shared" si="5"/>
        <v>B1</v>
      </c>
      <c r="C52" s="87">
        <v>26</v>
      </c>
      <c r="D52" s="88" t="str">
        <f>IF(C52&gt;0,INDEX(Teams!B$2:B$31,C52),"")</f>
        <v>Xtreme Creators</v>
      </c>
      <c r="E52" s="69">
        <f>IF(C52&gt;0,COUNTIF(C$2:C52,C52),"")</f>
        <v>3</v>
      </c>
      <c r="F52" s="70">
        <f ca="1">IF(C52&gt;0,OFFSET(TeamsData!$C$1,C52,E52),"")</f>
        <v>76</v>
      </c>
      <c r="G52" s="92">
        <f t="shared" si="4"/>
        <v>0.6302083333333345</v>
      </c>
      <c r="H52" s="90"/>
      <c r="I52" s="90"/>
      <c r="J52" s="91">
        <f ca="1" t="shared" si="0"/>
      </c>
      <c r="L52" s="96">
        <f t="shared" si="1"/>
        <v>0.0024305555555555556</v>
      </c>
      <c r="P52" t="str">
        <f t="shared" si="2"/>
        <v>26R3</v>
      </c>
    </row>
    <row r="53" spans="1:16" ht="12.75">
      <c r="A53" s="69">
        <f t="shared" si="3"/>
        <v>26</v>
      </c>
      <c r="B53" s="69" t="str">
        <f t="shared" si="5"/>
        <v>B2</v>
      </c>
      <c r="C53" s="87">
        <v>10</v>
      </c>
      <c r="D53" s="88" t="str">
        <f>IF(C53&gt;0,INDEX(Teams!B$2:B$31,C53),"")</f>
        <v>Lightning Bots</v>
      </c>
      <c r="E53" s="69">
        <f>IF(C53&gt;0,COUNTIF(C$2:C53,C53),"")</f>
        <v>3</v>
      </c>
      <c r="F53" s="70">
        <f ca="1">IF(C53&gt;0,OFFSET(TeamsData!$C$1,C53,E53),"")</f>
        <v>120</v>
      </c>
      <c r="G53" s="92">
        <f t="shared" si="4"/>
        <v>0.6302083333333345</v>
      </c>
      <c r="H53" s="90"/>
      <c r="I53" s="90"/>
      <c r="J53" s="91">
        <f ca="1" t="shared" si="0"/>
      </c>
      <c r="L53" s="96">
        <f t="shared" si="1"/>
        <v>0</v>
      </c>
      <c r="P53" t="str">
        <f t="shared" si="2"/>
        <v>10R3</v>
      </c>
    </row>
    <row r="54" spans="1:16" ht="12.75">
      <c r="A54" s="69">
        <f t="shared" si="3"/>
        <v>27</v>
      </c>
      <c r="B54" s="69" t="str">
        <f t="shared" si="5"/>
        <v>C1</v>
      </c>
      <c r="C54" s="87">
        <v>14</v>
      </c>
      <c r="D54" s="88" t="str">
        <f>IF(C54&gt;0,INDEX(Teams!B$2:B$31,C54),"")</f>
        <v>Mysterious Skeleton Squirrels</v>
      </c>
      <c r="E54" s="69">
        <f>IF(C54&gt;0,COUNTIF(C$2:C54,C54),"")</f>
        <v>3</v>
      </c>
      <c r="F54" s="70">
        <f ca="1">IF(C54&gt;0,OFFSET(TeamsData!$C$1,C54,E54),"")</f>
        <v>138</v>
      </c>
      <c r="G54" s="92">
        <f t="shared" si="4"/>
        <v>0.6326388888888901</v>
      </c>
      <c r="H54" s="90"/>
      <c r="I54" s="90"/>
      <c r="J54" s="91">
        <f ca="1" t="shared" si="0"/>
      </c>
      <c r="L54" s="96">
        <f t="shared" si="1"/>
        <v>0.0024305555555555556</v>
      </c>
      <c r="P54" t="str">
        <f t="shared" si="2"/>
        <v>14R3</v>
      </c>
    </row>
    <row r="55" spans="1:16" ht="12.75">
      <c r="A55" s="69">
        <f t="shared" si="3"/>
        <v>27</v>
      </c>
      <c r="B55" s="69" t="str">
        <f t="shared" si="5"/>
        <v>C2</v>
      </c>
      <c r="C55" s="87">
        <v>19</v>
      </c>
      <c r="D55" s="88" t="str">
        <f>IF(C55&gt;0,INDEX(Teams!B$2:B$31,C55),"")</f>
        <v>Robot-Arbiters</v>
      </c>
      <c r="E55" s="69">
        <f>IF(C55&gt;0,COUNTIF(C$2:C55,C55),"")</f>
        <v>3</v>
      </c>
      <c r="F55" s="70">
        <f ca="1">IF(C55&gt;0,OFFSET(TeamsData!$C$1,C55,E55),"")</f>
        <v>93</v>
      </c>
      <c r="G55" s="92">
        <f t="shared" si="4"/>
        <v>0.6326388888888901</v>
      </c>
      <c r="H55" s="90"/>
      <c r="I55" s="90"/>
      <c r="J55" s="91">
        <f ca="1" t="shared" si="0"/>
      </c>
      <c r="L55" s="96">
        <f t="shared" si="1"/>
        <v>0</v>
      </c>
      <c r="P55" t="str">
        <f t="shared" si="2"/>
        <v>19R3</v>
      </c>
    </row>
    <row r="56" spans="1:16" ht="12.75">
      <c r="A56" s="69">
        <f t="shared" si="3"/>
        <v>28</v>
      </c>
      <c r="B56" s="69" t="str">
        <f t="shared" si="5"/>
        <v>A1</v>
      </c>
      <c r="C56" s="87">
        <v>1</v>
      </c>
      <c r="D56" s="88" t="str">
        <f>IF(C56&gt;0,INDEX(Teams!B$2:B$31,C56),"")</f>
        <v>40 Loyola SAPlings</v>
      </c>
      <c r="E56" s="69">
        <f>IF(C56&gt;0,COUNTIF(C$2:C56,C56),"")</f>
        <v>2</v>
      </c>
      <c r="F56" s="70">
        <f ca="1">IF(C56&gt;0,OFFSET(TeamsData!$C$1,C56,E56),"")</f>
        <v>79</v>
      </c>
      <c r="G56" s="92">
        <f t="shared" si="4"/>
        <v>0.6350694444444457</v>
      </c>
      <c r="H56" s="90"/>
      <c r="I56" s="90"/>
      <c r="J56" s="91">
        <f ca="1" t="shared" si="0"/>
      </c>
      <c r="L56" s="96">
        <f t="shared" si="1"/>
        <v>0.0024305555555555556</v>
      </c>
      <c r="P56" t="str">
        <f t="shared" si="2"/>
        <v>1R2</v>
      </c>
    </row>
    <row r="57" spans="1:16" ht="12.75">
      <c r="A57" s="69">
        <f t="shared" si="3"/>
        <v>28</v>
      </c>
      <c r="B57" s="69" t="str">
        <f t="shared" si="5"/>
        <v>A2</v>
      </c>
      <c r="C57" s="87">
        <v>27</v>
      </c>
      <c r="D57" s="88" t="str">
        <f>IF(C57&gt;0,INDEX(Teams!B$2:B$31,C57),"")</f>
        <v>Robotics space girls</v>
      </c>
      <c r="E57" s="69">
        <f>IF(C57&gt;0,COUNTIF(C$2:C57,C57),"")</f>
        <v>2</v>
      </c>
      <c r="F57" s="70">
        <f ca="1">IF(C57&gt;0,OFFSET(TeamsData!$C$1,C57,E57),"")</f>
        <v>77</v>
      </c>
      <c r="G57" s="92">
        <f t="shared" si="4"/>
        <v>0.6350694444444457</v>
      </c>
      <c r="H57" s="90"/>
      <c r="I57" s="90"/>
      <c r="J57" s="91">
        <f ca="1" t="shared" si="0"/>
      </c>
      <c r="L57" s="96">
        <f t="shared" si="1"/>
        <v>0</v>
      </c>
      <c r="P57" t="str">
        <f t="shared" si="2"/>
        <v>27R2</v>
      </c>
    </row>
    <row r="58" spans="1:16" ht="12.75">
      <c r="A58" s="69">
        <f t="shared" si="3"/>
        <v>29</v>
      </c>
      <c r="B58" s="69" t="str">
        <f t="shared" si="5"/>
        <v>B1</v>
      </c>
      <c r="C58" s="87">
        <v>3</v>
      </c>
      <c r="D58" s="88" t="str">
        <f>IF(C58&gt;0,INDEX(Teams!B$2:B$31,C58),"")</f>
        <v>Eaglebots</v>
      </c>
      <c r="E58" s="69">
        <f>IF(C58&gt;0,COUNTIF(C$2:C58,C58),"")</f>
        <v>3</v>
      </c>
      <c r="F58" s="70">
        <f ca="1">IF(C58&gt;0,OFFSET(TeamsData!$C$1,C58,E58),"")</f>
        <v>175</v>
      </c>
      <c r="G58" s="92">
        <f t="shared" si="4"/>
        <v>0.6375000000000013</v>
      </c>
      <c r="H58" s="90"/>
      <c r="I58" s="90"/>
      <c r="J58" s="91">
        <f ca="1" t="shared" si="0"/>
      </c>
      <c r="L58" s="96">
        <f t="shared" si="1"/>
        <v>0.0024305555555555556</v>
      </c>
      <c r="P58" t="str">
        <f t="shared" si="2"/>
        <v>3R3</v>
      </c>
    </row>
    <row r="59" spans="1:16" ht="12.75">
      <c r="A59" s="69">
        <f t="shared" si="3"/>
        <v>29</v>
      </c>
      <c r="B59" s="69" t="str">
        <f t="shared" si="5"/>
        <v>B2</v>
      </c>
      <c r="C59" s="87">
        <v>11</v>
      </c>
      <c r="D59" s="88" t="str">
        <f>IF(C59&gt;0,INDEX(Teams!B$2:B$31,C59),"")</f>
        <v>Mat Scientists</v>
      </c>
      <c r="E59" s="69">
        <f>IF(C59&gt;0,COUNTIF(C$2:C59,C59),"")</f>
        <v>3</v>
      </c>
      <c r="F59" s="70">
        <f ca="1">IF(C59&gt;0,OFFSET(TeamsData!$C$1,C59,E59),"")</f>
        <v>89</v>
      </c>
      <c r="G59" s="92">
        <f t="shared" si="4"/>
        <v>0.6375000000000013</v>
      </c>
      <c r="H59" s="90"/>
      <c r="I59" s="90"/>
      <c r="J59" s="91">
        <f ca="1" t="shared" si="0"/>
      </c>
      <c r="L59" s="96">
        <f t="shared" si="1"/>
        <v>0</v>
      </c>
      <c r="P59" t="str">
        <f t="shared" si="2"/>
        <v>11R3</v>
      </c>
    </row>
    <row r="60" spans="1:16" ht="12.75">
      <c r="A60" s="69">
        <f t="shared" si="3"/>
        <v>30</v>
      </c>
      <c r="B60" s="69" t="str">
        <f t="shared" si="5"/>
        <v>C1</v>
      </c>
      <c r="C60" s="87">
        <v>1</v>
      </c>
      <c r="D60" s="88" t="str">
        <f>IF(C60&gt;0,INDEX(Teams!B$2:B$31,C60),"")</f>
        <v>40 Loyola SAPlings</v>
      </c>
      <c r="E60" s="69">
        <f>IF(C60&gt;0,COUNTIF(C$2:C60,C60),"")</f>
        <v>3</v>
      </c>
      <c r="F60" s="70">
        <f ca="1">IF(C60&gt;0,OFFSET(TeamsData!$C$1,C60,E60),"")</f>
        <v>80</v>
      </c>
      <c r="G60" s="92">
        <f t="shared" si="4"/>
        <v>0.6399305555555569</v>
      </c>
      <c r="H60" s="90"/>
      <c r="I60" s="90"/>
      <c r="J60" s="91">
        <f ca="1" t="shared" si="0"/>
      </c>
      <c r="L60" s="96">
        <f t="shared" si="1"/>
        <v>0.0024305555555555556</v>
      </c>
      <c r="P60" t="str">
        <f t="shared" si="2"/>
        <v>1R3</v>
      </c>
    </row>
    <row r="61" spans="1:16" ht="12.75">
      <c r="A61" s="69">
        <f t="shared" si="3"/>
        <v>30</v>
      </c>
      <c r="B61" s="69" t="str">
        <f t="shared" si="5"/>
        <v>C2</v>
      </c>
      <c r="C61" s="87">
        <v>9</v>
      </c>
      <c r="D61" s="88" t="str">
        <f>IF(C61&gt;0,INDEX(Teams!B$2:B$31,C61),"")</f>
        <v>Lego Lightning</v>
      </c>
      <c r="E61" s="69">
        <f>IF(C61&gt;0,COUNTIF(C$2:C61,C61),"")</f>
        <v>3</v>
      </c>
      <c r="F61" s="70">
        <f ca="1">IF(C61&gt;0,OFFSET(TeamsData!$C$1,C61,E61),"")</f>
        <v>100</v>
      </c>
      <c r="G61" s="92">
        <f t="shared" si="4"/>
        <v>0.6399305555555569</v>
      </c>
      <c r="H61" s="90"/>
      <c r="I61" s="90"/>
      <c r="J61" s="91">
        <f ca="1" t="shared" si="0"/>
      </c>
      <c r="L61" s="96">
        <f t="shared" si="1"/>
        <v>0</v>
      </c>
      <c r="P61" t="str">
        <f t="shared" si="2"/>
        <v>9R3</v>
      </c>
    </row>
    <row r="62" spans="1:16" ht="12.75">
      <c r="A62" s="69">
        <f t="shared" si="3"/>
        <v>31</v>
      </c>
      <c r="B62" s="69" t="str">
        <f t="shared" si="5"/>
        <v>A1</v>
      </c>
      <c r="C62" s="87">
        <v>7</v>
      </c>
      <c r="D62" s="88" t="str">
        <f>IF(C62&gt;0,INDEX(Teams!B$2:B$31,C62),"")</f>
        <v>JOACK</v>
      </c>
      <c r="E62" s="69">
        <f>IF(C62&gt;0,COUNTIF(C$2:C62,C62),"")</f>
        <v>3</v>
      </c>
      <c r="F62" s="70">
        <f ca="1">IF(C62&gt;0,OFFSET(TeamsData!$C$1,C62,E62),"")</f>
        <v>109</v>
      </c>
      <c r="G62" s="92">
        <f t="shared" si="4"/>
        <v>0.6423611111111125</v>
      </c>
      <c r="H62" s="90"/>
      <c r="I62" s="90"/>
      <c r="J62" s="91">
        <f ca="1" t="shared" si="0"/>
      </c>
      <c r="L62" s="96">
        <f t="shared" si="1"/>
        <v>0.0024305555555555556</v>
      </c>
      <c r="P62" t="str">
        <f t="shared" si="2"/>
        <v>7R3</v>
      </c>
    </row>
    <row r="63" spans="1:16" ht="12.75">
      <c r="A63" s="69">
        <f t="shared" si="3"/>
        <v>31</v>
      </c>
      <c r="B63" s="69" t="str">
        <f t="shared" si="5"/>
        <v>A2</v>
      </c>
      <c r="C63" s="87">
        <v>26</v>
      </c>
      <c r="D63" s="88" t="str">
        <f>IF(C63&gt;0,INDEX(Teams!B$2:B$31,C63),"")</f>
        <v>Xtreme Creators</v>
      </c>
      <c r="E63" s="69">
        <f>IF(C63&gt;0,COUNTIF(C$2:C63,C63),"")</f>
        <v>4</v>
      </c>
      <c r="F63" s="70">
        <f ca="1">IF(C63&gt;0,OFFSET(TeamsData!$C$1,C63,E63),"")</f>
        <v>93</v>
      </c>
      <c r="G63" s="92">
        <f t="shared" si="4"/>
        <v>0.6423611111111125</v>
      </c>
      <c r="H63" s="90"/>
      <c r="I63" s="90"/>
      <c r="J63" s="91">
        <f ca="1" t="shared" si="0"/>
      </c>
      <c r="L63" s="96">
        <f t="shared" si="1"/>
        <v>0</v>
      </c>
      <c r="P63" t="str">
        <f t="shared" si="2"/>
        <v>26R4</v>
      </c>
    </row>
    <row r="64" spans="1:16" ht="12.75">
      <c r="A64" s="69">
        <f t="shared" si="3"/>
        <v>32</v>
      </c>
      <c r="B64" s="69" t="str">
        <f t="shared" si="5"/>
        <v>B1</v>
      </c>
      <c r="C64" s="87">
        <v>15</v>
      </c>
      <c r="D64" s="88" t="str">
        <f>IF(C64&gt;0,INDEX(Teams!B$2:B$31,C64),"")</f>
        <v>Nano-bugs</v>
      </c>
      <c r="E64" s="69">
        <f>IF(C64&gt;0,COUNTIF(C$2:C64,C64),"")</f>
        <v>3</v>
      </c>
      <c r="F64" s="70">
        <f ca="1">IF(C64&gt;0,OFFSET(TeamsData!$C$1,C64,E64),"")</f>
        <v>61</v>
      </c>
      <c r="G64" s="92">
        <f t="shared" si="4"/>
        <v>0.6447916666666681</v>
      </c>
      <c r="H64" s="90"/>
      <c r="I64" s="90"/>
      <c r="J64" s="91">
        <f ca="1" t="shared" si="0"/>
      </c>
      <c r="L64" s="96">
        <f t="shared" si="1"/>
        <v>0.0024305555555555556</v>
      </c>
      <c r="P64" t="str">
        <f t="shared" si="2"/>
        <v>15R3</v>
      </c>
    </row>
    <row r="65" spans="1:16" ht="12.75">
      <c r="A65" s="69">
        <f t="shared" si="3"/>
        <v>32</v>
      </c>
      <c r="B65" s="69" t="str">
        <f t="shared" si="5"/>
        <v>B2</v>
      </c>
      <c r="C65" s="87">
        <v>18</v>
      </c>
      <c r="D65" s="88" t="str">
        <f>IF(C65&gt;0,INDEX(Teams!B$2:B$31,C65),"")</f>
        <v>robokids</v>
      </c>
      <c r="E65" s="69">
        <f>IF(C65&gt;0,COUNTIF(C$2:C65,C65),"")</f>
        <v>3</v>
      </c>
      <c r="F65" s="70">
        <f ca="1">IF(C65&gt;0,OFFSET(TeamsData!$C$1,C65,E65),"")</f>
        <v>86</v>
      </c>
      <c r="G65" s="92">
        <f t="shared" si="4"/>
        <v>0.6447916666666681</v>
      </c>
      <c r="H65" s="90"/>
      <c r="I65" s="90"/>
      <c r="J65" s="91">
        <f ca="1" t="shared" si="0"/>
      </c>
      <c r="L65" s="96">
        <f t="shared" si="1"/>
        <v>0</v>
      </c>
      <c r="P65" t="str">
        <f t="shared" si="2"/>
        <v>18R3</v>
      </c>
    </row>
    <row r="66" spans="1:16" ht="12.75">
      <c r="A66" s="69">
        <f t="shared" si="3"/>
        <v>33</v>
      </c>
      <c r="B66" s="69" t="str">
        <f t="shared" si="5"/>
        <v>C1</v>
      </c>
      <c r="C66" s="87">
        <v>6</v>
      </c>
      <c r="D66" s="88" t="str">
        <f>IF(C66&gt;0,INDEX(Teams!B$2:B$31,C66),"")</f>
        <v>Hazardous Waste</v>
      </c>
      <c r="E66" s="69">
        <f>IF(C66&gt;0,COUNTIF(C$2:C66,C66),"")</f>
        <v>3</v>
      </c>
      <c r="F66" s="70">
        <f ca="1">IF(C66&gt;0,OFFSET(TeamsData!$C$1,C66,E66),"")</f>
        <v>80</v>
      </c>
      <c r="G66" s="92">
        <f t="shared" si="4"/>
        <v>0.6472222222222237</v>
      </c>
      <c r="H66" s="90"/>
      <c r="I66" s="90"/>
      <c r="J66" s="91">
        <f ca="1" t="shared" si="0"/>
      </c>
      <c r="L66" s="96">
        <f t="shared" si="1"/>
        <v>0.0024305555555555556</v>
      </c>
      <c r="P66" t="str">
        <f t="shared" si="2"/>
        <v>6R3</v>
      </c>
    </row>
    <row r="67" spans="1:16" ht="12.75">
      <c r="A67" s="69">
        <f t="shared" si="3"/>
        <v>33</v>
      </c>
      <c r="B67" s="69" t="str">
        <f t="shared" si="5"/>
        <v>C2</v>
      </c>
      <c r="C67" s="87">
        <v>20</v>
      </c>
      <c r="D67" s="88" t="str">
        <f>IF(C67&gt;0,INDEX(Teams!B$2:B$31,C67),"")</f>
        <v>Robotic Ravioli</v>
      </c>
      <c r="E67" s="69">
        <f>IF(C67&gt;0,COUNTIF(C$2:C67,C67),"")</f>
        <v>3</v>
      </c>
      <c r="F67" s="70">
        <f ca="1">IF(C67&gt;0,OFFSET(TeamsData!$C$1,C67,E67),"")</f>
        <v>79</v>
      </c>
      <c r="G67" s="92">
        <f t="shared" si="4"/>
        <v>0.6472222222222237</v>
      </c>
      <c r="H67" s="90"/>
      <c r="I67" s="90"/>
      <c r="J67" s="91">
        <f aca="true" ca="1" t="shared" si="6" ref="J67:J115">IF(F67&lt;&gt;"","",G67+$O$1-NOW())</f>
      </c>
      <c r="L67" s="96">
        <f aca="true" t="shared" si="7" ref="L67:L115">IF(A67=A66,0,O$3+M67/1440)</f>
        <v>0</v>
      </c>
      <c r="P67" t="str">
        <f aca="true" t="shared" si="8" ref="P67:P115">C67&amp;"R"&amp;E67</f>
        <v>20R3</v>
      </c>
    </row>
    <row r="68" spans="1:16" ht="12.75">
      <c r="A68" s="69">
        <f aca="true" t="shared" si="9" ref="A68:A115">A66+1</f>
        <v>34</v>
      </c>
      <c r="B68" s="69" t="str">
        <f t="shared" si="5"/>
        <v>A1</v>
      </c>
      <c r="C68" s="87">
        <v>23</v>
      </c>
      <c r="D68" s="88" t="str">
        <f>IF(C68&gt;0,INDEX(Teams!B$2:B$31,C68),"")</f>
        <v>Smart Cookies</v>
      </c>
      <c r="E68" s="69">
        <f>IF(C68&gt;0,COUNTIF(C$2:C68,C68),"")</f>
        <v>3</v>
      </c>
      <c r="F68" s="70">
        <f ca="1">IF(C68&gt;0,OFFSET(TeamsData!$C$1,C68,E68),"")</f>
        <v>83</v>
      </c>
      <c r="G68" s="92">
        <f aca="true" t="shared" si="10" ref="G68:G115">IF(H67&gt;0,H67+L68,G67+L68)</f>
        <v>0.6496527777777793</v>
      </c>
      <c r="H68" s="90"/>
      <c r="I68" s="90"/>
      <c r="J68" s="91">
        <f ca="1" t="shared" si="6"/>
      </c>
      <c r="L68" s="96">
        <f t="shared" si="7"/>
        <v>0.0024305555555555556</v>
      </c>
      <c r="P68" t="str">
        <f t="shared" si="8"/>
        <v>23R3</v>
      </c>
    </row>
    <row r="69" spans="1:16" ht="12.75">
      <c r="A69" s="69">
        <f t="shared" si="9"/>
        <v>34</v>
      </c>
      <c r="B69" s="69" t="str">
        <f t="shared" si="5"/>
        <v>A2</v>
      </c>
      <c r="C69" s="87">
        <v>8</v>
      </c>
      <c r="D69" s="88" t="str">
        <f>IF(C69&gt;0,INDEX(Teams!B$2:B$31,C69),"")</f>
        <v>Kung Food</v>
      </c>
      <c r="E69" s="69">
        <f>IF(C69&gt;0,COUNTIF(C$2:C69,C69),"")</f>
        <v>3</v>
      </c>
      <c r="F69" s="70">
        <f ca="1">IF(C69&gt;0,OFFSET(TeamsData!$C$1,C69,E69),"")</f>
        <v>91</v>
      </c>
      <c r="G69" s="92">
        <f t="shared" si="10"/>
        <v>0.6496527777777793</v>
      </c>
      <c r="H69" s="90"/>
      <c r="I69" s="90"/>
      <c r="J69" s="91">
        <f ca="1" t="shared" si="6"/>
      </c>
      <c r="L69" s="96">
        <f t="shared" si="7"/>
        <v>0</v>
      </c>
      <c r="P69" t="str">
        <f t="shared" si="8"/>
        <v>8R3</v>
      </c>
    </row>
    <row r="70" spans="1:16" ht="12.75">
      <c r="A70" s="69">
        <f t="shared" si="9"/>
        <v>35</v>
      </c>
      <c r="B70" s="69" t="str">
        <f t="shared" si="5"/>
        <v>B1</v>
      </c>
      <c r="C70" s="87">
        <v>2</v>
      </c>
      <c r="D70" s="88" t="str">
        <f>IF(C70&gt;0,INDEX(Teams!B$2:B$31,C70),"")</f>
        <v>Adroits</v>
      </c>
      <c r="E70" s="69">
        <f>IF(C70&gt;0,COUNTIF(C$2:C70,C70),"")</f>
        <v>3</v>
      </c>
      <c r="F70" s="70">
        <f ca="1">IF(C70&gt;0,OFFSET(TeamsData!$C$1,C70,E70),"")</f>
        <v>112</v>
      </c>
      <c r="G70" s="92">
        <f t="shared" si="10"/>
        <v>0.6520833333333349</v>
      </c>
      <c r="H70" s="90"/>
      <c r="I70" s="90"/>
      <c r="J70" s="91">
        <f ca="1" t="shared" si="6"/>
      </c>
      <c r="L70" s="96">
        <f t="shared" si="7"/>
        <v>0.0024305555555555556</v>
      </c>
      <c r="P70" t="str">
        <f t="shared" si="8"/>
        <v>2R3</v>
      </c>
    </row>
    <row r="71" spans="1:16" ht="12.75">
      <c r="A71" s="69">
        <f t="shared" si="9"/>
        <v>35</v>
      </c>
      <c r="B71" s="69" t="str">
        <f t="shared" si="5"/>
        <v>B2</v>
      </c>
      <c r="C71" s="87">
        <v>17</v>
      </c>
      <c r="D71" s="88" t="str">
        <f>IF(C71&gt;0,INDEX(Teams!B$2:B$31,C71),"")</f>
        <v>Peaceful Programmers</v>
      </c>
      <c r="E71" s="69">
        <f>IF(C71&gt;0,COUNTIF(C$2:C71,C71),"")</f>
        <v>3</v>
      </c>
      <c r="F71" s="70">
        <f ca="1">IF(C71&gt;0,OFFSET(TeamsData!$C$1,C71,E71),"")</f>
        <v>95</v>
      </c>
      <c r="G71" s="92">
        <f t="shared" si="10"/>
        <v>0.6520833333333349</v>
      </c>
      <c r="H71" s="90"/>
      <c r="I71" s="90"/>
      <c r="J71" s="91">
        <f ca="1" t="shared" si="6"/>
      </c>
      <c r="L71" s="96">
        <f t="shared" si="7"/>
        <v>0</v>
      </c>
      <c r="P71" t="str">
        <f t="shared" si="8"/>
        <v>17R3</v>
      </c>
    </row>
    <row r="72" spans="1:16" ht="12.75">
      <c r="A72" s="69">
        <f t="shared" si="9"/>
        <v>36</v>
      </c>
      <c r="B72" s="69" t="str">
        <f aca="true" t="shared" si="11" ref="B72:B115">B66</f>
        <v>C1</v>
      </c>
      <c r="C72" s="87">
        <v>27</v>
      </c>
      <c r="D72" s="88" t="str">
        <f>IF(C72&gt;0,INDEX(Teams!B$2:B$31,C72),"")</f>
        <v>Robotics space girls</v>
      </c>
      <c r="E72" s="69">
        <f>IF(C72&gt;0,COUNTIF(C$2:C72,C72),"")</f>
        <v>3</v>
      </c>
      <c r="F72" s="70">
        <f ca="1">IF(C72&gt;0,OFFSET(TeamsData!$C$1,C72,E72),"")</f>
        <v>65</v>
      </c>
      <c r="G72" s="92">
        <f t="shared" si="10"/>
        <v>0.6545138888888905</v>
      </c>
      <c r="H72" s="90"/>
      <c r="I72" s="90"/>
      <c r="J72" s="91">
        <f ca="1" t="shared" si="6"/>
      </c>
      <c r="L72" s="96">
        <f t="shared" si="7"/>
        <v>0.0024305555555555556</v>
      </c>
      <c r="P72" t="str">
        <f t="shared" si="8"/>
        <v>27R3</v>
      </c>
    </row>
    <row r="73" spans="1:16" ht="12.75">
      <c r="A73" s="69">
        <f t="shared" si="9"/>
        <v>36</v>
      </c>
      <c r="B73" s="69" t="str">
        <f t="shared" si="11"/>
        <v>C2</v>
      </c>
      <c r="C73" s="87">
        <v>10</v>
      </c>
      <c r="D73" s="88" t="str">
        <f>IF(C73&gt;0,INDEX(Teams!B$2:B$31,C73),"")</f>
        <v>Lightning Bots</v>
      </c>
      <c r="E73" s="69">
        <f>IF(C73&gt;0,COUNTIF(C$2:C73,C73),"")</f>
        <v>4</v>
      </c>
      <c r="F73" s="70">
        <f ca="1">IF(C73&gt;0,OFFSET(TeamsData!$C$1,C73,E73),"")</f>
        <v>111</v>
      </c>
      <c r="G73" s="92">
        <f t="shared" si="10"/>
        <v>0.6545138888888905</v>
      </c>
      <c r="H73" s="90"/>
      <c r="I73" s="90"/>
      <c r="J73" s="91">
        <f ca="1" t="shared" si="6"/>
      </c>
      <c r="L73" s="96">
        <f t="shared" si="7"/>
        <v>0</v>
      </c>
      <c r="P73" t="str">
        <f t="shared" si="8"/>
        <v>10R4</v>
      </c>
    </row>
    <row r="74" spans="1:16" ht="12.75">
      <c r="A74" s="69">
        <f t="shared" si="9"/>
        <v>37</v>
      </c>
      <c r="B74" s="69" t="str">
        <f t="shared" si="11"/>
        <v>A1</v>
      </c>
      <c r="C74" s="87">
        <v>14</v>
      </c>
      <c r="D74" s="88" t="str">
        <f>IF(C74&gt;0,INDEX(Teams!B$2:B$31,C74),"")</f>
        <v>Mysterious Skeleton Squirrels</v>
      </c>
      <c r="E74" s="69">
        <f>IF(C74&gt;0,COUNTIF(C$2:C74,C74),"")</f>
        <v>4</v>
      </c>
      <c r="F74" s="70">
        <f ca="1">IF(C74&gt;0,OFFSET(TeamsData!$C$1,C74,E74),"")</f>
        <v>94</v>
      </c>
      <c r="G74" s="92">
        <f t="shared" si="10"/>
        <v>0.6569444444444461</v>
      </c>
      <c r="H74" s="90"/>
      <c r="I74" s="90"/>
      <c r="J74" s="91">
        <f ca="1" t="shared" si="6"/>
      </c>
      <c r="L74" s="96">
        <f t="shared" si="7"/>
        <v>0.0024305555555555556</v>
      </c>
      <c r="P74" t="str">
        <f t="shared" si="8"/>
        <v>14R4</v>
      </c>
    </row>
    <row r="75" spans="1:16" ht="12.75">
      <c r="A75" s="69">
        <f t="shared" si="9"/>
        <v>37</v>
      </c>
      <c r="B75" s="69" t="str">
        <f t="shared" si="11"/>
        <v>A2</v>
      </c>
      <c r="C75" s="87">
        <v>16</v>
      </c>
      <c r="D75" s="88" t="str">
        <f>IF(C75&gt;0,INDEX(Teams!B$2:B$31,C75),"")</f>
        <v>N-Knacks-T</v>
      </c>
      <c r="E75" s="69">
        <f>IF(C75&gt;0,COUNTIF(C$2:C75,C75),"")</f>
        <v>4</v>
      </c>
      <c r="F75" s="70">
        <f ca="1">IF(C75&gt;0,OFFSET(TeamsData!$C$1,C75,E75),"")</f>
        <v>76</v>
      </c>
      <c r="G75" s="92">
        <f t="shared" si="10"/>
        <v>0.6569444444444461</v>
      </c>
      <c r="H75" s="90"/>
      <c r="I75" s="90"/>
      <c r="J75" s="91">
        <f ca="1" t="shared" si="6"/>
      </c>
      <c r="L75" s="96">
        <f t="shared" si="7"/>
        <v>0</v>
      </c>
      <c r="P75" t="str">
        <f t="shared" si="8"/>
        <v>16R4</v>
      </c>
    </row>
    <row r="76" spans="1:16" ht="12.75">
      <c r="A76" s="69">
        <f t="shared" si="9"/>
        <v>38</v>
      </c>
      <c r="B76" s="69" t="str">
        <f t="shared" si="11"/>
        <v>B1</v>
      </c>
      <c r="C76" s="87">
        <v>25</v>
      </c>
      <c r="D76" s="88" t="str">
        <f>IF(C76&gt;0,INDEX(Teams!B$2:B$31,C76),"")</f>
        <v>Vikings</v>
      </c>
      <c r="E76" s="69">
        <f>IF(C76&gt;0,COUNTIF(C$2:C76,C76),"")</f>
        <v>3</v>
      </c>
      <c r="F76" s="70">
        <f ca="1">IF(C76&gt;0,OFFSET(TeamsData!$C$1,C76,E76),"")</f>
        <v>94</v>
      </c>
      <c r="G76" s="92">
        <f t="shared" si="10"/>
        <v>0.6593750000000017</v>
      </c>
      <c r="H76" s="90"/>
      <c r="I76" s="90"/>
      <c r="J76" s="91">
        <f ca="1" t="shared" si="6"/>
      </c>
      <c r="L76" s="96">
        <f t="shared" si="7"/>
        <v>0.0024305555555555556</v>
      </c>
      <c r="P76" t="str">
        <f t="shared" si="8"/>
        <v>25R3</v>
      </c>
    </row>
    <row r="77" spans="1:16" ht="12.75">
      <c r="A77" s="69">
        <f t="shared" si="9"/>
        <v>38</v>
      </c>
      <c r="B77" s="69" t="str">
        <f t="shared" si="11"/>
        <v>B2</v>
      </c>
      <c r="C77" s="87">
        <v>5</v>
      </c>
      <c r="D77" s="88" t="str">
        <f>IF(C77&gt;0,INDEX(Teams!B$2:B$31,C77),"")</f>
        <v>Gutbusters</v>
      </c>
      <c r="E77" s="69">
        <f>IF(C77&gt;0,COUNTIF(C$2:C77,C77),"")</f>
        <v>4</v>
      </c>
      <c r="F77" s="70">
        <f ca="1">IF(C77&gt;0,OFFSET(TeamsData!$C$1,C77,E77),"")</f>
        <v>128</v>
      </c>
      <c r="G77" s="92">
        <f t="shared" si="10"/>
        <v>0.6593750000000017</v>
      </c>
      <c r="H77" s="90"/>
      <c r="I77" s="90"/>
      <c r="J77" s="91">
        <f ca="1" t="shared" si="6"/>
      </c>
      <c r="L77" s="96">
        <f t="shared" si="7"/>
        <v>0</v>
      </c>
      <c r="P77" t="str">
        <f t="shared" si="8"/>
        <v>5R4</v>
      </c>
    </row>
    <row r="78" spans="1:16" ht="12.75">
      <c r="A78" s="69">
        <f t="shared" si="9"/>
        <v>39</v>
      </c>
      <c r="B78" s="69" t="str">
        <f t="shared" si="11"/>
        <v>C1</v>
      </c>
      <c r="C78" s="87"/>
      <c r="D78" s="88">
        <f>IF(C78&gt;0,INDEX(Teams!B$2:B$31,C78),"")</f>
      </c>
      <c r="E78" s="69">
        <f>IF(C78&gt;0,COUNTIF(C$2:C78,C78),"")</f>
      </c>
      <c r="F78" s="70">
        <f ca="1">IF(C78&gt;0,OFFSET(TeamsData!$C$1,C78,E78),"")</f>
      </c>
      <c r="G78" s="92">
        <f t="shared" si="10"/>
        <v>0.6618055555555573</v>
      </c>
      <c r="H78" s="90"/>
      <c r="I78" s="90"/>
      <c r="J78" s="91">
        <f ca="1" t="shared" si="6"/>
        <v>-27.312346296290343</v>
      </c>
      <c r="L78" s="96">
        <f t="shared" si="7"/>
        <v>0.0024305555555555556</v>
      </c>
      <c r="P78" t="str">
        <f t="shared" si="8"/>
        <v>R</v>
      </c>
    </row>
    <row r="79" spans="1:16" ht="12.75">
      <c r="A79" s="69">
        <f t="shared" si="9"/>
        <v>39</v>
      </c>
      <c r="B79" s="69" t="str">
        <f t="shared" si="11"/>
        <v>C2</v>
      </c>
      <c r="C79" s="87"/>
      <c r="D79" s="88">
        <f>IF(C79&gt;0,INDEX(Teams!B$2:B$31,C79),"")</f>
      </c>
      <c r="E79" s="69">
        <f>IF(C79&gt;0,COUNTIF(C$2:C79,C79),"")</f>
      </c>
      <c r="F79" s="70">
        <f ca="1">IF(C79&gt;0,OFFSET(TeamsData!$C$1,C79,E79),"")</f>
      </c>
      <c r="G79" s="92">
        <f t="shared" si="10"/>
        <v>0.6618055555555573</v>
      </c>
      <c r="H79" s="90"/>
      <c r="I79" s="90"/>
      <c r="J79" s="91">
        <f ca="1" t="shared" si="6"/>
        <v>-27.312346296290343</v>
      </c>
      <c r="L79" s="96">
        <f t="shared" si="7"/>
        <v>0</v>
      </c>
      <c r="P79" t="str">
        <f t="shared" si="8"/>
        <v>R</v>
      </c>
    </row>
    <row r="80" spans="1:16" ht="12.75">
      <c r="A80" s="69">
        <f t="shared" si="9"/>
        <v>40</v>
      </c>
      <c r="B80" s="69" t="str">
        <f t="shared" si="11"/>
        <v>A1</v>
      </c>
      <c r="C80" s="87"/>
      <c r="D80" s="88">
        <f>IF(C80&gt;0,INDEX(Teams!B$2:B$31,C80),"")</f>
      </c>
      <c r="E80" s="69">
        <f>IF(C80&gt;0,COUNTIF(C$2:C80,C80),"")</f>
      </c>
      <c r="F80" s="70">
        <f ca="1">IF(C80&gt;0,OFFSET(TeamsData!$C$1,C80,E80),"")</f>
      </c>
      <c r="G80" s="92">
        <f t="shared" si="10"/>
        <v>0.6642361111111129</v>
      </c>
      <c r="H80" s="90"/>
      <c r="I80" s="90"/>
      <c r="J80" s="91">
        <f ca="1" t="shared" si="6"/>
        <v>-27.309915740741417</v>
      </c>
      <c r="L80" s="96">
        <f t="shared" si="7"/>
        <v>0.0024305555555555556</v>
      </c>
      <c r="P80" t="str">
        <f t="shared" si="8"/>
        <v>R</v>
      </c>
    </row>
    <row r="81" spans="1:16" ht="12.75">
      <c r="A81" s="69">
        <f t="shared" si="9"/>
        <v>40</v>
      </c>
      <c r="B81" s="69" t="str">
        <f t="shared" si="11"/>
        <v>A2</v>
      </c>
      <c r="C81" s="87"/>
      <c r="D81" s="88">
        <f>IF(C81&gt;0,INDEX(Teams!B$2:B$31,C81),"")</f>
      </c>
      <c r="E81" s="69">
        <f>IF(C81&gt;0,COUNTIF(C$2:C81,C81),"")</f>
      </c>
      <c r="F81" s="70">
        <f ca="1">IF(C81&gt;0,OFFSET(TeamsData!$C$1,C81,E81),"")</f>
      </c>
      <c r="G81" s="92">
        <f t="shared" si="10"/>
        <v>0.6642361111111129</v>
      </c>
      <c r="H81" s="90"/>
      <c r="I81" s="90"/>
      <c r="J81" s="91">
        <f ca="1" t="shared" si="6"/>
        <v>-27.309915740741417</v>
      </c>
      <c r="L81" s="96">
        <f t="shared" si="7"/>
        <v>0</v>
      </c>
      <c r="P81" t="str">
        <f t="shared" si="8"/>
        <v>R</v>
      </c>
    </row>
    <row r="82" spans="1:16" ht="12.75">
      <c r="A82" s="69">
        <f t="shared" si="9"/>
        <v>41</v>
      </c>
      <c r="B82" s="69" t="str">
        <f t="shared" si="11"/>
        <v>B1</v>
      </c>
      <c r="C82" s="87"/>
      <c r="D82" s="88">
        <f>IF(C82&gt;0,INDEX(Teams!B$2:B$31,C82),"")</f>
      </c>
      <c r="E82" s="69">
        <f>IF(C82&gt;0,COUNTIF(C$2:C82,C82),"")</f>
      </c>
      <c r="F82" s="70">
        <f ca="1">IF(C82&gt;0,OFFSET(TeamsData!$C$1,C82,E82),"")</f>
      </c>
      <c r="G82" s="92">
        <f t="shared" si="10"/>
        <v>0.6666666666666685</v>
      </c>
      <c r="H82" s="90"/>
      <c r="I82" s="90"/>
      <c r="J82" s="91">
        <f ca="1" t="shared" si="6"/>
        <v>-27.307485185185215</v>
      </c>
      <c r="L82" s="96">
        <f t="shared" si="7"/>
        <v>0.0024305555555555556</v>
      </c>
      <c r="P82" t="str">
        <f t="shared" si="8"/>
        <v>R</v>
      </c>
    </row>
    <row r="83" spans="1:16" ht="12.75">
      <c r="A83" s="69">
        <f t="shared" si="9"/>
        <v>41</v>
      </c>
      <c r="B83" s="69" t="str">
        <f t="shared" si="11"/>
        <v>B2</v>
      </c>
      <c r="C83" s="87"/>
      <c r="D83" s="88">
        <f>IF(C83&gt;0,INDEX(Teams!B$2:B$31,C83),"")</f>
      </c>
      <c r="E83" s="69">
        <f>IF(C83&gt;0,COUNTIF(C$2:C83,C83),"")</f>
      </c>
      <c r="F83" s="70">
        <f ca="1">IF(C83&gt;0,OFFSET(TeamsData!$C$1,C83,E83),"")</f>
      </c>
      <c r="G83" s="92">
        <f t="shared" si="10"/>
        <v>0.6666666666666685</v>
      </c>
      <c r="H83" s="90"/>
      <c r="I83" s="90"/>
      <c r="J83" s="91">
        <f ca="1" t="shared" si="6"/>
        <v>-27.307485185185215</v>
      </c>
      <c r="L83" s="96">
        <f t="shared" si="7"/>
        <v>0</v>
      </c>
      <c r="P83" t="str">
        <f t="shared" si="8"/>
        <v>R</v>
      </c>
    </row>
    <row r="84" spans="1:16" ht="12.75">
      <c r="A84" s="69">
        <f t="shared" si="9"/>
        <v>42</v>
      </c>
      <c r="B84" s="69" t="str">
        <f t="shared" si="11"/>
        <v>C1</v>
      </c>
      <c r="C84" s="87"/>
      <c r="D84" s="88">
        <f>IF(C84&gt;0,INDEX(Teams!B$2:B$31,C84),"")</f>
      </c>
      <c r="E84" s="69">
        <f>IF(C84&gt;0,COUNTIF(C$2:C84,C84),"")</f>
      </c>
      <c r="F84" s="70">
        <f ca="1">IF(C84&gt;0,OFFSET(TeamsData!$C$1,C84,E84),"")</f>
      </c>
      <c r="G84" s="92">
        <f t="shared" si="10"/>
        <v>0.6690972222222241</v>
      </c>
      <c r="H84" s="90"/>
      <c r="I84" s="90"/>
      <c r="J84" s="91">
        <f ca="1" t="shared" si="6"/>
        <v>-27.305054629629012</v>
      </c>
      <c r="L84" s="96">
        <f t="shared" si="7"/>
        <v>0.0024305555555555556</v>
      </c>
      <c r="P84" t="str">
        <f t="shared" si="8"/>
        <v>R</v>
      </c>
    </row>
    <row r="85" spans="1:16" ht="12.75">
      <c r="A85" s="69">
        <f t="shared" si="9"/>
        <v>42</v>
      </c>
      <c r="B85" s="69" t="str">
        <f t="shared" si="11"/>
        <v>C2</v>
      </c>
      <c r="C85" s="87"/>
      <c r="D85" s="88">
        <f>IF(C85&gt;0,INDEX(Teams!B$2:B$31,C85),"")</f>
      </c>
      <c r="E85" s="69">
        <f>IF(C85&gt;0,COUNTIF(C$2:C85,C85),"")</f>
      </c>
      <c r="F85" s="70">
        <f ca="1">IF(C85&gt;0,OFFSET(TeamsData!$C$1,C85,E85),"")</f>
      </c>
      <c r="G85" s="92">
        <f t="shared" si="10"/>
        <v>0.6690972222222241</v>
      </c>
      <c r="H85" s="90"/>
      <c r="I85" s="90"/>
      <c r="J85" s="91">
        <f ca="1" t="shared" si="6"/>
        <v>-27.305054629629012</v>
      </c>
      <c r="L85" s="96">
        <f t="shared" si="7"/>
        <v>0</v>
      </c>
      <c r="P85" t="str">
        <f t="shared" si="8"/>
        <v>R</v>
      </c>
    </row>
    <row r="86" spans="1:16" ht="12.75">
      <c r="A86" s="69">
        <f t="shared" si="9"/>
        <v>43</v>
      </c>
      <c r="B86" s="69" t="str">
        <f t="shared" si="11"/>
        <v>A1</v>
      </c>
      <c r="C86" s="87"/>
      <c r="D86" s="88">
        <f>IF(C86&gt;0,INDEX(Teams!B$2:B$31,C86),"")</f>
      </c>
      <c r="E86" s="69">
        <f>IF(C86&gt;0,COUNTIF(C$2:C86,C86),"")</f>
      </c>
      <c r="F86" s="70">
        <f ca="1">IF(C86&gt;0,OFFSET(TeamsData!$C$1,C86,E86),"")</f>
      </c>
      <c r="G86" s="92">
        <f t="shared" si="10"/>
        <v>0.6715277777777797</v>
      </c>
      <c r="H86" s="90"/>
      <c r="I86" s="90"/>
      <c r="J86" s="91">
        <f ca="1" t="shared" si="6"/>
        <v>-27.30262407407281</v>
      </c>
      <c r="L86" s="96">
        <f t="shared" si="7"/>
        <v>0.0024305555555555556</v>
      </c>
      <c r="P86" t="str">
        <f t="shared" si="8"/>
        <v>R</v>
      </c>
    </row>
    <row r="87" spans="1:16" ht="12.75">
      <c r="A87" s="69">
        <f t="shared" si="9"/>
        <v>43</v>
      </c>
      <c r="B87" s="69" t="str">
        <f t="shared" si="11"/>
        <v>A2</v>
      </c>
      <c r="C87" s="87"/>
      <c r="D87" s="88">
        <f>IF(C87&gt;0,INDEX(Teams!B$2:B$31,C87),"")</f>
      </c>
      <c r="E87" s="69">
        <f>IF(C87&gt;0,COUNTIF(C$2:C87,C87),"")</f>
      </c>
      <c r="F87" s="70">
        <f ca="1">IF(C87&gt;0,OFFSET(TeamsData!$C$1,C87,E87),"")</f>
      </c>
      <c r="G87" s="92">
        <f t="shared" si="10"/>
        <v>0.6715277777777797</v>
      </c>
      <c r="H87" s="90"/>
      <c r="I87" s="90"/>
      <c r="J87" s="91">
        <f ca="1" t="shared" si="6"/>
        <v>-27.30262407407281</v>
      </c>
      <c r="L87" s="96">
        <f t="shared" si="7"/>
        <v>0</v>
      </c>
      <c r="P87" t="str">
        <f t="shared" si="8"/>
        <v>R</v>
      </c>
    </row>
    <row r="88" spans="1:16" ht="12.75">
      <c r="A88" s="69">
        <f t="shared" si="9"/>
        <v>44</v>
      </c>
      <c r="B88" s="69" t="str">
        <f t="shared" si="11"/>
        <v>B1</v>
      </c>
      <c r="C88" s="87"/>
      <c r="D88" s="88">
        <f>IF(C88&gt;0,INDEX(Teams!B$2:B$31,C88),"")</f>
      </c>
      <c r="E88" s="69">
        <f>IF(C88&gt;0,COUNTIF(C$2:C88,C88),"")</f>
      </c>
      <c r="F88" s="70">
        <f ca="1">IF(C88&gt;0,OFFSET(TeamsData!$C$1,C88,E88),"")</f>
      </c>
      <c r="G88" s="92">
        <f t="shared" si="10"/>
        <v>0.6739583333333353</v>
      </c>
      <c r="H88" s="90"/>
      <c r="I88" s="90"/>
      <c r="J88" s="91">
        <f ca="1" t="shared" si="6"/>
        <v>-27.300193518516608</v>
      </c>
      <c r="L88" s="96">
        <f t="shared" si="7"/>
        <v>0.0024305555555555556</v>
      </c>
      <c r="P88" t="str">
        <f t="shared" si="8"/>
        <v>R</v>
      </c>
    </row>
    <row r="89" spans="1:16" ht="12.75">
      <c r="A89" s="69">
        <f t="shared" si="9"/>
        <v>44</v>
      </c>
      <c r="B89" s="69" t="str">
        <f t="shared" si="11"/>
        <v>B2</v>
      </c>
      <c r="C89" s="87"/>
      <c r="D89" s="88">
        <f>IF(C89&gt;0,INDEX(Teams!B$2:B$31,C89),"")</f>
      </c>
      <c r="E89" s="69">
        <f>IF(C89&gt;0,COUNTIF(C$2:C89,C89),"")</f>
      </c>
      <c r="F89" s="70">
        <f ca="1">IF(C89&gt;0,OFFSET(TeamsData!$C$1,C89,E89),"")</f>
      </c>
      <c r="G89" s="92">
        <f t="shared" si="10"/>
        <v>0.6739583333333353</v>
      </c>
      <c r="H89" s="90"/>
      <c r="I89" s="90"/>
      <c r="J89" s="91">
        <f ca="1" t="shared" si="6"/>
        <v>-27.300193518516608</v>
      </c>
      <c r="L89" s="96">
        <f t="shared" si="7"/>
        <v>0</v>
      </c>
      <c r="P89" t="str">
        <f t="shared" si="8"/>
        <v>R</v>
      </c>
    </row>
    <row r="90" spans="1:16" ht="12.75">
      <c r="A90" s="69">
        <f t="shared" si="9"/>
        <v>45</v>
      </c>
      <c r="B90" s="69" t="str">
        <f t="shared" si="11"/>
        <v>C1</v>
      </c>
      <c r="C90" s="87"/>
      <c r="D90" s="88">
        <f>IF(C90&gt;0,INDEX(Teams!B$2:B$31,C90),"")</f>
      </c>
      <c r="E90" s="69">
        <f>IF(C90&gt;0,COUNTIF(C$2:C90,C90),"")</f>
      </c>
      <c r="F90" s="70">
        <f ca="1">IF(C90&gt;0,OFFSET(TeamsData!$C$1,C90,E90),"")</f>
      </c>
      <c r="G90" s="92">
        <f t="shared" si="10"/>
        <v>0.6763888888888909</v>
      </c>
      <c r="H90" s="90"/>
      <c r="I90" s="90"/>
      <c r="J90" s="91">
        <f ca="1" t="shared" si="6"/>
        <v>-27.297762962960405</v>
      </c>
      <c r="L90" s="96">
        <f t="shared" si="7"/>
        <v>0.0024305555555555556</v>
      </c>
      <c r="P90" t="str">
        <f t="shared" si="8"/>
        <v>R</v>
      </c>
    </row>
    <row r="91" spans="1:16" ht="12.75">
      <c r="A91" s="69">
        <f t="shared" si="9"/>
        <v>45</v>
      </c>
      <c r="B91" s="69" t="str">
        <f t="shared" si="11"/>
        <v>C2</v>
      </c>
      <c r="C91" s="87"/>
      <c r="D91" s="88">
        <f>IF(C91&gt;0,INDEX(Teams!B$2:B$31,C91),"")</f>
      </c>
      <c r="E91" s="69">
        <f>IF(C91&gt;0,COUNTIF(C$2:C91,C91),"")</f>
      </c>
      <c r="F91" s="70">
        <f ca="1">IF(C91&gt;0,OFFSET(TeamsData!$C$1,C91,E91),"")</f>
      </c>
      <c r="G91" s="92">
        <f t="shared" si="10"/>
        <v>0.6763888888888909</v>
      </c>
      <c r="H91" s="90"/>
      <c r="I91" s="90"/>
      <c r="J91" s="91">
        <f ca="1" t="shared" si="6"/>
        <v>-27.297762962960405</v>
      </c>
      <c r="L91" s="96">
        <f t="shared" si="7"/>
        <v>0</v>
      </c>
      <c r="P91" t="str">
        <f t="shared" si="8"/>
        <v>R</v>
      </c>
    </row>
    <row r="92" spans="1:16" ht="12.75">
      <c r="A92" s="69">
        <f t="shared" si="9"/>
        <v>46</v>
      </c>
      <c r="B92" s="69" t="str">
        <f t="shared" si="11"/>
        <v>A1</v>
      </c>
      <c r="C92" s="87"/>
      <c r="D92" s="88">
        <f>IF(C92&gt;0,INDEX(Teams!B$2:B$31,C92),"")</f>
      </c>
      <c r="E92" s="69">
        <f>IF(C92&gt;0,COUNTIF(C$2:C92,C92),"")</f>
      </c>
      <c r="F92" s="70">
        <f ca="1">IF(C92&gt;0,OFFSET(TeamsData!$C$1,C92,E92),"")</f>
      </c>
      <c r="G92" s="92">
        <f t="shared" si="10"/>
        <v>0.6788194444444465</v>
      </c>
      <c r="H92" s="90"/>
      <c r="I92" s="90"/>
      <c r="J92" s="91">
        <f ca="1" t="shared" si="6"/>
        <v>-27.295332407404203</v>
      </c>
      <c r="L92" s="96">
        <f t="shared" si="7"/>
        <v>0.0024305555555555556</v>
      </c>
      <c r="P92" t="str">
        <f t="shared" si="8"/>
        <v>R</v>
      </c>
    </row>
    <row r="93" spans="1:16" ht="12.75">
      <c r="A93" s="69">
        <f t="shared" si="9"/>
        <v>46</v>
      </c>
      <c r="B93" s="69" t="str">
        <f t="shared" si="11"/>
        <v>A2</v>
      </c>
      <c r="C93" s="87"/>
      <c r="D93" s="88">
        <f>IF(C93&gt;0,INDEX(Teams!B$2:B$31,C93),"")</f>
      </c>
      <c r="E93" s="69">
        <f>IF(C93&gt;0,COUNTIF(C$2:C93,C93),"")</f>
      </c>
      <c r="F93" s="70">
        <f ca="1">IF(C93&gt;0,OFFSET(TeamsData!$C$1,C93,E93),"")</f>
      </c>
      <c r="G93" s="92">
        <f t="shared" si="10"/>
        <v>0.6788194444444465</v>
      </c>
      <c r="H93" s="90"/>
      <c r="I93" s="90"/>
      <c r="J93" s="91">
        <f ca="1" t="shared" si="6"/>
        <v>-27.295332407404203</v>
      </c>
      <c r="L93" s="96">
        <f t="shared" si="7"/>
        <v>0</v>
      </c>
      <c r="P93" t="str">
        <f t="shared" si="8"/>
        <v>R</v>
      </c>
    </row>
    <row r="94" spans="1:16" ht="12.75">
      <c r="A94" s="69">
        <f t="shared" si="9"/>
        <v>47</v>
      </c>
      <c r="B94" s="69" t="str">
        <f t="shared" si="11"/>
        <v>B1</v>
      </c>
      <c r="C94" s="87"/>
      <c r="D94" s="88">
        <f>IF(C94&gt;0,INDEX(Teams!B$2:B$31,C94),"")</f>
      </c>
      <c r="E94" s="69">
        <f>IF(C94&gt;0,COUNTIF(C$2:C94,C94),"")</f>
      </c>
      <c r="F94" s="70">
        <f ca="1">IF(C94&gt;0,OFFSET(TeamsData!$C$1,C94,E94),"")</f>
      </c>
      <c r="G94" s="92">
        <f t="shared" si="10"/>
        <v>0.6812500000000021</v>
      </c>
      <c r="H94" s="90"/>
      <c r="I94" s="90"/>
      <c r="J94" s="91">
        <f ca="1" t="shared" si="6"/>
        <v>-27.292901851848</v>
      </c>
      <c r="L94" s="96">
        <f t="shared" si="7"/>
        <v>0.0024305555555555556</v>
      </c>
      <c r="P94" t="str">
        <f t="shared" si="8"/>
        <v>R</v>
      </c>
    </row>
    <row r="95" spans="1:16" ht="12.75">
      <c r="A95" s="69">
        <f t="shared" si="9"/>
        <v>47</v>
      </c>
      <c r="B95" s="69" t="str">
        <f t="shared" si="11"/>
        <v>B2</v>
      </c>
      <c r="C95" s="87"/>
      <c r="D95" s="88">
        <f>IF(C95&gt;0,INDEX(Teams!B$2:B$31,C95),"")</f>
      </c>
      <c r="E95" s="69">
        <f>IF(C95&gt;0,COUNTIF(C$2:C95,C95),"")</f>
      </c>
      <c r="F95" s="70">
        <f ca="1">IF(C95&gt;0,OFFSET(TeamsData!$C$1,C95,E95),"")</f>
      </c>
      <c r="G95" s="92">
        <f t="shared" si="10"/>
        <v>0.6812500000000021</v>
      </c>
      <c r="H95" s="90"/>
      <c r="I95" s="90"/>
      <c r="J95" s="91">
        <f ca="1" t="shared" si="6"/>
        <v>-27.292901851848</v>
      </c>
      <c r="L95" s="96">
        <f t="shared" si="7"/>
        <v>0</v>
      </c>
      <c r="P95" t="str">
        <f t="shared" si="8"/>
        <v>R</v>
      </c>
    </row>
    <row r="96" spans="1:16" ht="12.75">
      <c r="A96" s="69">
        <f t="shared" si="9"/>
        <v>48</v>
      </c>
      <c r="B96" s="69" t="str">
        <f t="shared" si="11"/>
        <v>C1</v>
      </c>
      <c r="C96" s="87"/>
      <c r="D96" s="88">
        <f>IF(C96&gt;0,INDEX(Teams!B$2:B$31,C96),"")</f>
      </c>
      <c r="E96" s="69">
        <f>IF(C96&gt;0,COUNTIF(C$2:C96,C96),"")</f>
      </c>
      <c r="F96" s="70">
        <f ca="1">IF(C96&gt;0,OFFSET(TeamsData!$C$1,C96,E96),"")</f>
      </c>
      <c r="G96" s="92">
        <f t="shared" si="10"/>
        <v>0.6836805555555577</v>
      </c>
      <c r="H96" s="90"/>
      <c r="I96" s="90"/>
      <c r="J96" s="91">
        <f ca="1" t="shared" si="6"/>
        <v>-27.2904712962918</v>
      </c>
      <c r="L96" s="96">
        <f t="shared" si="7"/>
        <v>0.0024305555555555556</v>
      </c>
      <c r="P96" t="str">
        <f t="shared" si="8"/>
        <v>R</v>
      </c>
    </row>
    <row r="97" spans="1:16" ht="12.75">
      <c r="A97" s="69">
        <f t="shared" si="9"/>
        <v>48</v>
      </c>
      <c r="B97" s="69" t="str">
        <f t="shared" si="11"/>
        <v>C2</v>
      </c>
      <c r="C97" s="87"/>
      <c r="D97" s="88">
        <f>IF(C97&gt;0,INDEX(Teams!B$2:B$31,C97),"")</f>
      </c>
      <c r="E97" s="69">
        <f>IF(C97&gt;0,COUNTIF(C$2:C97,C97),"")</f>
      </c>
      <c r="F97" s="70">
        <f ca="1">IF(C97&gt;0,OFFSET(TeamsData!$C$1,C97,E97),"")</f>
      </c>
      <c r="G97" s="92">
        <f t="shared" si="10"/>
        <v>0.6836805555555577</v>
      </c>
      <c r="H97" s="90"/>
      <c r="I97" s="90"/>
      <c r="J97" s="91">
        <f ca="1" t="shared" si="6"/>
        <v>-27.2904712962918</v>
      </c>
      <c r="L97" s="96">
        <f t="shared" si="7"/>
        <v>0</v>
      </c>
      <c r="P97" t="str">
        <f t="shared" si="8"/>
        <v>R</v>
      </c>
    </row>
    <row r="98" spans="1:16" ht="12.75">
      <c r="A98" s="69">
        <f t="shared" si="9"/>
        <v>49</v>
      </c>
      <c r="B98" s="69" t="str">
        <f t="shared" si="11"/>
        <v>A1</v>
      </c>
      <c r="C98" s="87"/>
      <c r="D98" s="88">
        <f>IF(C98&gt;0,INDEX(Teams!B$2:B$31,C98),"")</f>
      </c>
      <c r="E98" s="69">
        <f>IF(C98&gt;0,COUNTIF(C$2:C98,C98),"")</f>
      </c>
      <c r="F98" s="70">
        <f ca="1">IF(C98&gt;0,OFFSET(TeamsData!$C$1,C98,E98),"")</f>
      </c>
      <c r="G98" s="92">
        <f t="shared" si="10"/>
        <v>0.6861111111111133</v>
      </c>
      <c r="H98" s="90"/>
      <c r="I98" s="90"/>
      <c r="J98" s="91">
        <f ca="1" t="shared" si="6"/>
        <v>-27.288040740735596</v>
      </c>
      <c r="L98" s="96">
        <f t="shared" si="7"/>
        <v>0.0024305555555555556</v>
      </c>
      <c r="P98" t="str">
        <f t="shared" si="8"/>
        <v>R</v>
      </c>
    </row>
    <row r="99" spans="1:16" ht="12.75">
      <c r="A99" s="69">
        <f t="shared" si="9"/>
        <v>49</v>
      </c>
      <c r="B99" s="69" t="str">
        <f t="shared" si="11"/>
        <v>A2</v>
      </c>
      <c r="C99" s="87"/>
      <c r="D99" s="88">
        <f>IF(C99&gt;0,INDEX(Teams!B$2:B$31,C99),"")</f>
      </c>
      <c r="E99" s="69">
        <f>IF(C99&gt;0,COUNTIF(C$2:C99,C99),"")</f>
      </c>
      <c r="F99" s="70">
        <f ca="1">IF(C99&gt;0,OFFSET(TeamsData!$C$1,C99,E99),"")</f>
      </c>
      <c r="G99" s="92">
        <f t="shared" si="10"/>
        <v>0.6861111111111133</v>
      </c>
      <c r="H99" s="90"/>
      <c r="I99" s="90"/>
      <c r="J99" s="91">
        <f ca="1" t="shared" si="6"/>
        <v>-27.288040740735596</v>
      </c>
      <c r="L99" s="96">
        <f t="shared" si="7"/>
        <v>0</v>
      </c>
      <c r="P99" t="str">
        <f t="shared" si="8"/>
        <v>R</v>
      </c>
    </row>
    <row r="100" spans="1:16" ht="12.75">
      <c r="A100" s="69">
        <f t="shared" si="9"/>
        <v>50</v>
      </c>
      <c r="B100" s="69" t="str">
        <f t="shared" si="11"/>
        <v>B1</v>
      </c>
      <c r="C100" s="87"/>
      <c r="D100" s="88">
        <f>IF(C100&gt;0,INDEX(Teams!B$2:B$31,C100),"")</f>
      </c>
      <c r="E100" s="69">
        <f>IF(C100&gt;0,COUNTIF(C$2:C100,C100),"")</f>
      </c>
      <c r="F100" s="70">
        <f ca="1">IF(C100&gt;0,OFFSET(TeamsData!$C$1,C100,E100),"")</f>
      </c>
      <c r="G100" s="92">
        <f t="shared" si="10"/>
        <v>0.6885416666666689</v>
      </c>
      <c r="H100" s="90"/>
      <c r="I100" s="90"/>
      <c r="J100" s="91">
        <f ca="1" t="shared" si="6"/>
        <v>-27.285610185179394</v>
      </c>
      <c r="L100" s="96">
        <f t="shared" si="7"/>
        <v>0.0024305555555555556</v>
      </c>
      <c r="P100" t="str">
        <f t="shared" si="8"/>
        <v>R</v>
      </c>
    </row>
    <row r="101" spans="1:16" ht="12.75">
      <c r="A101" s="69">
        <f t="shared" si="9"/>
        <v>50</v>
      </c>
      <c r="B101" s="69" t="str">
        <f t="shared" si="11"/>
        <v>B2</v>
      </c>
      <c r="C101" s="87"/>
      <c r="D101" s="88">
        <f>IF(C101&gt;0,INDEX(Teams!B$2:B$31,C101),"")</f>
      </c>
      <c r="E101" s="69">
        <f>IF(C101&gt;0,COUNTIF(C$2:C101,C101),"")</f>
      </c>
      <c r="F101" s="70">
        <f ca="1">IF(C101&gt;0,OFFSET(TeamsData!$C$1,C101,E101),"")</f>
      </c>
      <c r="G101" s="92">
        <f t="shared" si="10"/>
        <v>0.6885416666666689</v>
      </c>
      <c r="H101" s="90"/>
      <c r="I101" s="90"/>
      <c r="J101" s="91">
        <f ca="1" t="shared" si="6"/>
        <v>-27.285610185179394</v>
      </c>
      <c r="L101" s="96">
        <f t="shared" si="7"/>
        <v>0</v>
      </c>
      <c r="P101" t="str">
        <f t="shared" si="8"/>
        <v>R</v>
      </c>
    </row>
    <row r="102" spans="1:16" ht="12.75">
      <c r="A102" s="69">
        <f t="shared" si="9"/>
        <v>51</v>
      </c>
      <c r="B102" s="69" t="str">
        <f t="shared" si="11"/>
        <v>C1</v>
      </c>
      <c r="C102" s="87"/>
      <c r="D102" s="88">
        <f>IF(C102&gt;0,INDEX(Teams!B$2:B$31,C102),"")</f>
      </c>
      <c r="E102" s="69">
        <f>IF(C102&gt;0,COUNTIF(C$2:C102,C102),"")</f>
      </c>
      <c r="F102" s="70">
        <f ca="1">IF(C102&gt;0,OFFSET(TeamsData!$C$1,C102,E102),"")</f>
      </c>
      <c r="G102" s="92">
        <f t="shared" si="10"/>
        <v>0.6909722222222245</v>
      </c>
      <c r="H102" s="90"/>
      <c r="I102" s="90"/>
      <c r="J102" s="91">
        <f ca="1" t="shared" si="6"/>
        <v>-27.283179629630467</v>
      </c>
      <c r="L102" s="96">
        <f t="shared" si="7"/>
        <v>0.0024305555555555556</v>
      </c>
      <c r="P102" t="str">
        <f t="shared" si="8"/>
        <v>R</v>
      </c>
    </row>
    <row r="103" spans="1:16" ht="12.75">
      <c r="A103" s="69">
        <f t="shared" si="9"/>
        <v>51</v>
      </c>
      <c r="B103" s="69" t="str">
        <f t="shared" si="11"/>
        <v>C2</v>
      </c>
      <c r="C103" s="87"/>
      <c r="D103" s="88">
        <f>IF(C103&gt;0,INDEX(Teams!B$2:B$31,C103),"")</f>
      </c>
      <c r="E103" s="69">
        <f>IF(C103&gt;0,COUNTIF(C$2:C103,C103),"")</f>
      </c>
      <c r="F103" s="70">
        <f ca="1">IF(C103&gt;0,OFFSET(TeamsData!$C$1,C103,E103),"")</f>
      </c>
      <c r="G103" s="92">
        <f t="shared" si="10"/>
        <v>0.6909722222222245</v>
      </c>
      <c r="H103" s="90"/>
      <c r="I103" s="90"/>
      <c r="J103" s="91">
        <f ca="1" t="shared" si="6"/>
        <v>-27.283179629630467</v>
      </c>
      <c r="L103" s="96">
        <f t="shared" si="7"/>
        <v>0</v>
      </c>
      <c r="P103" t="str">
        <f t="shared" si="8"/>
        <v>R</v>
      </c>
    </row>
    <row r="104" spans="1:16" ht="12.75">
      <c r="A104" s="69">
        <f t="shared" si="9"/>
        <v>52</v>
      </c>
      <c r="B104" s="69" t="str">
        <f t="shared" si="11"/>
        <v>A1</v>
      </c>
      <c r="C104" s="87"/>
      <c r="D104" s="88">
        <f>IF(C104&gt;0,INDEX(Teams!B$2:B$31,C104),"")</f>
      </c>
      <c r="E104" s="69">
        <f>IF(C104&gt;0,COUNTIF(C$2:C104,C104),"")</f>
      </c>
      <c r="F104" s="70">
        <f ca="1">IF(C104&gt;0,OFFSET(TeamsData!$C$1,C104,E104),"")</f>
      </c>
      <c r="G104" s="92">
        <f t="shared" si="10"/>
        <v>0.6934027777777801</v>
      </c>
      <c r="H104" s="90"/>
      <c r="I104" s="90"/>
      <c r="J104" s="91">
        <f ca="1" t="shared" si="6"/>
        <v>-27.280749074074265</v>
      </c>
      <c r="L104" s="96">
        <f t="shared" si="7"/>
        <v>0.0024305555555555556</v>
      </c>
      <c r="P104" t="str">
        <f t="shared" si="8"/>
        <v>R</v>
      </c>
    </row>
    <row r="105" spans="1:16" ht="12.75">
      <c r="A105" s="69">
        <f t="shared" si="9"/>
        <v>52</v>
      </c>
      <c r="B105" s="69" t="str">
        <f t="shared" si="11"/>
        <v>A2</v>
      </c>
      <c r="C105" s="87"/>
      <c r="D105" s="88">
        <f>IF(C105&gt;0,INDEX(Teams!B$2:B$31,C105),"")</f>
      </c>
      <c r="E105" s="69">
        <f>IF(C105&gt;0,COUNTIF(C$2:C105,C105),"")</f>
      </c>
      <c r="F105" s="70">
        <f ca="1">IF(C105&gt;0,OFFSET(TeamsData!$C$1,C105,E105),"")</f>
      </c>
      <c r="G105" s="92">
        <f t="shared" si="10"/>
        <v>0.6934027777777801</v>
      </c>
      <c r="H105" s="90"/>
      <c r="I105" s="90"/>
      <c r="J105" s="91">
        <f ca="1" t="shared" si="6"/>
        <v>-27.280749074074265</v>
      </c>
      <c r="L105" s="96">
        <f t="shared" si="7"/>
        <v>0</v>
      </c>
      <c r="P105" t="str">
        <f t="shared" si="8"/>
        <v>R</v>
      </c>
    </row>
    <row r="106" spans="1:16" ht="12.75">
      <c r="A106" s="69">
        <f t="shared" si="9"/>
        <v>53</v>
      </c>
      <c r="B106" s="69" t="str">
        <f t="shared" si="11"/>
        <v>B1</v>
      </c>
      <c r="C106" s="87"/>
      <c r="D106" s="88">
        <f>IF(C106&gt;0,INDEX(Teams!B$2:B$31,C106),"")</f>
      </c>
      <c r="E106" s="69">
        <f>IF(C106&gt;0,COUNTIF(C$2:C106,C106),"")</f>
      </c>
      <c r="F106" s="70">
        <f ca="1">IF(C106&gt;0,OFFSET(TeamsData!$C$1,C106,E106),"")</f>
      </c>
      <c r="G106" s="92">
        <f t="shared" si="10"/>
        <v>0.6958333333333357</v>
      </c>
      <c r="H106" s="90"/>
      <c r="I106" s="90"/>
      <c r="J106" s="91">
        <f ca="1" t="shared" si="6"/>
        <v>-27.278318518518063</v>
      </c>
      <c r="L106" s="96">
        <f t="shared" si="7"/>
        <v>0.0024305555555555556</v>
      </c>
      <c r="P106" t="str">
        <f t="shared" si="8"/>
        <v>R</v>
      </c>
    </row>
    <row r="107" spans="1:16" ht="12.75">
      <c r="A107" s="69">
        <f t="shared" si="9"/>
        <v>53</v>
      </c>
      <c r="B107" s="69" t="str">
        <f t="shared" si="11"/>
        <v>B2</v>
      </c>
      <c r="C107" s="87"/>
      <c r="D107" s="88">
        <f>IF(C107&gt;0,INDEX(Teams!B$2:B$31,C107),"")</f>
      </c>
      <c r="E107" s="69">
        <f>IF(C107&gt;0,COUNTIF(C$2:C107,C107),"")</f>
      </c>
      <c r="F107" s="70">
        <f ca="1">IF(C107&gt;0,OFFSET(TeamsData!$C$1,C107,E107),"")</f>
      </c>
      <c r="G107" s="92">
        <f t="shared" si="10"/>
        <v>0.6958333333333357</v>
      </c>
      <c r="H107" s="90"/>
      <c r="I107" s="90"/>
      <c r="J107" s="91">
        <f ca="1" t="shared" si="6"/>
        <v>-27.278318518518063</v>
      </c>
      <c r="L107" s="96">
        <f t="shared" si="7"/>
        <v>0</v>
      </c>
      <c r="P107" t="str">
        <f t="shared" si="8"/>
        <v>R</v>
      </c>
    </row>
    <row r="108" spans="1:16" ht="12.75">
      <c r="A108" s="69">
        <f t="shared" si="9"/>
        <v>54</v>
      </c>
      <c r="B108" s="69" t="str">
        <f t="shared" si="11"/>
        <v>C1</v>
      </c>
      <c r="C108" s="87"/>
      <c r="D108" s="88">
        <f>IF(C108&gt;0,INDEX(Teams!B$2:B$31,C108),"")</f>
      </c>
      <c r="E108" s="69">
        <f>IF(C108&gt;0,COUNTIF(C$2:C108,C108),"")</f>
      </c>
      <c r="F108" s="70">
        <f ca="1">IF(C108&gt;0,OFFSET(TeamsData!$C$1,C108,E108),"")</f>
      </c>
      <c r="G108" s="92">
        <f t="shared" si="10"/>
        <v>0.6982638888888913</v>
      </c>
      <c r="H108" s="90"/>
      <c r="I108" s="90"/>
      <c r="J108" s="91">
        <f ca="1" t="shared" si="6"/>
        <v>-27.27588796296186</v>
      </c>
      <c r="L108" s="96">
        <f t="shared" si="7"/>
        <v>0.0024305555555555556</v>
      </c>
      <c r="P108" t="str">
        <f t="shared" si="8"/>
        <v>R</v>
      </c>
    </row>
    <row r="109" spans="1:16" ht="12.75">
      <c r="A109" s="69">
        <f t="shared" si="9"/>
        <v>54</v>
      </c>
      <c r="B109" s="69" t="str">
        <f t="shared" si="11"/>
        <v>C2</v>
      </c>
      <c r="C109" s="87"/>
      <c r="D109" s="88">
        <f>IF(C109&gt;0,INDEX(Teams!B$2:B$31,C109),"")</f>
      </c>
      <c r="E109" s="69">
        <f>IF(C109&gt;0,COUNTIF(C$2:C109,C109),"")</f>
      </c>
      <c r="F109" s="70">
        <f ca="1">IF(C109&gt;0,OFFSET(TeamsData!$C$1,C109,E109),"")</f>
      </c>
      <c r="G109" s="92">
        <f t="shared" si="10"/>
        <v>0.6982638888888913</v>
      </c>
      <c r="H109" s="90"/>
      <c r="I109" s="90"/>
      <c r="J109" s="91">
        <f ca="1" t="shared" si="6"/>
        <v>-27.27588796296186</v>
      </c>
      <c r="L109" s="96">
        <f t="shared" si="7"/>
        <v>0</v>
      </c>
      <c r="P109" t="str">
        <f t="shared" si="8"/>
        <v>R</v>
      </c>
    </row>
    <row r="110" spans="1:16" ht="12.75">
      <c r="A110" s="69">
        <f t="shared" si="9"/>
        <v>55</v>
      </c>
      <c r="B110" s="69" t="str">
        <f t="shared" si="11"/>
        <v>A1</v>
      </c>
      <c r="C110" s="87"/>
      <c r="D110" s="88">
        <f>IF(C110&gt;0,INDEX(Teams!B$2:B$31,C110),"")</f>
      </c>
      <c r="E110" s="69">
        <f>IF(C110&gt;0,COUNTIF(C$2:C110,C110),"")</f>
      </c>
      <c r="F110" s="70">
        <f ca="1">IF(C110&gt;0,OFFSET(TeamsData!$C$1,C110,E110),"")</f>
      </c>
      <c r="G110" s="92">
        <f t="shared" si="10"/>
        <v>0.700694444444447</v>
      </c>
      <c r="H110" s="90"/>
      <c r="I110" s="90"/>
      <c r="J110" s="91">
        <f ca="1" t="shared" si="6"/>
        <v>-27.273457407405658</v>
      </c>
      <c r="L110" s="96">
        <f t="shared" si="7"/>
        <v>0.0024305555555555556</v>
      </c>
      <c r="P110" t="str">
        <f t="shared" si="8"/>
        <v>R</v>
      </c>
    </row>
    <row r="111" spans="1:16" ht="12.75">
      <c r="A111" s="69">
        <f t="shared" si="9"/>
        <v>55</v>
      </c>
      <c r="B111" s="69" t="str">
        <f t="shared" si="11"/>
        <v>A2</v>
      </c>
      <c r="C111" s="87"/>
      <c r="D111" s="88">
        <f>IF(C111&gt;0,INDEX(Teams!B$2:B$31,C111),"")</f>
      </c>
      <c r="E111" s="69">
        <f>IF(C111&gt;0,COUNTIF(C$2:C111,C111),"")</f>
      </c>
      <c r="F111" s="70">
        <f ca="1">IF(C111&gt;0,OFFSET(TeamsData!$C$1,C111,E111),"")</f>
      </c>
      <c r="G111" s="92">
        <f t="shared" si="10"/>
        <v>0.700694444444447</v>
      </c>
      <c r="H111" s="90"/>
      <c r="I111" s="90"/>
      <c r="J111" s="91">
        <f ca="1" t="shared" si="6"/>
        <v>-27.273457407405658</v>
      </c>
      <c r="L111" s="96">
        <f t="shared" si="7"/>
        <v>0</v>
      </c>
      <c r="P111" t="str">
        <f t="shared" si="8"/>
        <v>R</v>
      </c>
    </row>
    <row r="112" spans="1:16" ht="12.75">
      <c r="A112" s="69">
        <f t="shared" si="9"/>
        <v>56</v>
      </c>
      <c r="B112" s="69" t="str">
        <f t="shared" si="11"/>
        <v>B1</v>
      </c>
      <c r="C112" s="87"/>
      <c r="D112" s="88">
        <f>IF(C112&gt;0,INDEX(Teams!B$2:B$31,C112),"")</f>
      </c>
      <c r="E112" s="69">
        <f>IF(C112&gt;0,COUNTIF(C$2:C112,C112),"")</f>
      </c>
      <c r="F112" s="70">
        <f ca="1">IF(C112&gt;0,OFFSET(TeamsData!$C$1,C112,E112),"")</f>
      </c>
      <c r="G112" s="92">
        <f t="shared" si="10"/>
        <v>0.7031250000000026</v>
      </c>
      <c r="H112" s="90"/>
      <c r="I112" s="90"/>
      <c r="J112" s="91">
        <f ca="1" t="shared" si="6"/>
        <v>-27.271026851849456</v>
      </c>
      <c r="L112" s="96">
        <f t="shared" si="7"/>
        <v>0.0024305555555555556</v>
      </c>
      <c r="P112" t="str">
        <f t="shared" si="8"/>
        <v>R</v>
      </c>
    </row>
    <row r="113" spans="1:16" ht="12.75">
      <c r="A113" s="69">
        <f t="shared" si="9"/>
        <v>56</v>
      </c>
      <c r="B113" s="69" t="str">
        <f t="shared" si="11"/>
        <v>B2</v>
      </c>
      <c r="C113" s="87"/>
      <c r="D113" s="88">
        <f>IF(C113&gt;0,INDEX(Teams!B$2:B$31,C113),"")</f>
      </c>
      <c r="E113" s="69">
        <f>IF(C113&gt;0,COUNTIF(C$2:C113,C113),"")</f>
      </c>
      <c r="F113" s="70">
        <f ca="1">IF(C113&gt;0,OFFSET(TeamsData!$C$1,C113,E113),"")</f>
      </c>
      <c r="G113" s="92">
        <f t="shared" si="10"/>
        <v>0.7031250000000026</v>
      </c>
      <c r="H113" s="90"/>
      <c r="I113" s="90"/>
      <c r="J113" s="91">
        <f ca="1" t="shared" si="6"/>
        <v>-27.271026851849456</v>
      </c>
      <c r="L113" s="96">
        <f t="shared" si="7"/>
        <v>0</v>
      </c>
      <c r="P113" t="str">
        <f t="shared" si="8"/>
        <v>R</v>
      </c>
    </row>
    <row r="114" spans="1:16" ht="12.75">
      <c r="A114" s="69">
        <f t="shared" si="9"/>
        <v>57</v>
      </c>
      <c r="B114" s="69" t="str">
        <f t="shared" si="11"/>
        <v>C1</v>
      </c>
      <c r="C114" s="87"/>
      <c r="D114" s="88">
        <f>IF(C114&gt;0,INDEX(Teams!B$2:B$31,C114),"")</f>
      </c>
      <c r="E114" s="69">
        <f>IF(C114&gt;0,COUNTIF(C$2:C114,C114),"")</f>
      </c>
      <c r="F114" s="70">
        <f ca="1">IF(C114&gt;0,OFFSET(TeamsData!$C$1,C114,E114),"")</f>
      </c>
      <c r="G114" s="92">
        <f t="shared" si="10"/>
        <v>0.7055555555555582</v>
      </c>
      <c r="H114" s="90"/>
      <c r="I114" s="90"/>
      <c r="J114" s="91">
        <f ca="1" t="shared" si="6"/>
        <v>-27.268596296293254</v>
      </c>
      <c r="L114" s="96">
        <f t="shared" si="7"/>
        <v>0.0024305555555555556</v>
      </c>
      <c r="P114" t="str">
        <f t="shared" si="8"/>
        <v>R</v>
      </c>
    </row>
    <row r="115" spans="1:16" ht="12.75">
      <c r="A115" s="69">
        <f t="shared" si="9"/>
        <v>57</v>
      </c>
      <c r="B115" s="69" t="str">
        <f t="shared" si="11"/>
        <v>C2</v>
      </c>
      <c r="C115" s="87"/>
      <c r="D115" s="88">
        <f>IF(C115&gt;0,INDEX(Teams!B$2:B$31,C115),"")</f>
      </c>
      <c r="E115" s="69">
        <f>IF(C115&gt;0,COUNTIF(C$2:C115,C115),"")</f>
      </c>
      <c r="F115" s="70">
        <f ca="1">IF(C115&gt;0,OFFSET(TeamsData!$C$1,C115,E115),"")</f>
      </c>
      <c r="G115" s="92">
        <f t="shared" si="10"/>
        <v>0.7055555555555582</v>
      </c>
      <c r="H115" s="90"/>
      <c r="I115" s="90"/>
      <c r="J115" s="91">
        <f ca="1" t="shared" si="6"/>
        <v>-27.268596296293254</v>
      </c>
      <c r="L115" s="96">
        <f t="shared" si="7"/>
        <v>0</v>
      </c>
      <c r="P115" t="str">
        <f t="shared" si="8"/>
        <v>R</v>
      </c>
    </row>
  </sheetData>
  <sheetProtection sheet="1" objects="1" scenarios="1"/>
  <conditionalFormatting sqref="D2:J115 A2:B115">
    <cfRule type="expression" priority="1" dxfId="1" stopIfTrue="1">
      <formula>MOD($A2,3)=1</formula>
    </cfRule>
    <cfRule type="expression" priority="2" dxfId="0" stopIfTrue="1">
      <formula>MOD($A2,3)=2</formula>
    </cfRule>
    <cfRule type="expression" priority="3" dxfId="2" stopIfTrue="1">
      <formula>MOD($A2,3)=0</formula>
    </cfRule>
  </conditionalFormatting>
  <conditionalFormatting sqref="C2:C115">
    <cfRule type="cellIs" priority="4" dxfId="3" operator="equal" stopIfTrue="1">
      <formula>0</formula>
    </cfRule>
    <cfRule type="expression" priority="5" dxfId="4" stopIfTrue="1">
      <formula>$E2&gt;7</formula>
    </cfRule>
  </conditionalFormatting>
  <printOptions/>
  <pageMargins left="0.75" right="0.75" top="1" bottom="1" header="0.5" footer="0.5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U41"/>
  <sheetViews>
    <sheetView showRowColHeaders="0" tabSelected="1" zoomScaleSheetLayoutView="100" workbookViewId="0" topLeftCell="A1">
      <selection activeCell="E1" sqref="E1"/>
    </sheetView>
  </sheetViews>
  <sheetFormatPr defaultColWidth="9.140625" defaultRowHeight="12.75"/>
  <cols>
    <col min="1" max="1" width="3.7109375" style="9" customWidth="1"/>
    <col min="2" max="16" width="3.7109375" style="0" customWidth="1"/>
    <col min="17" max="17" width="6.00390625" style="0" customWidth="1"/>
    <col min="18" max="18" width="3.7109375" style="4" hidden="1" customWidth="1"/>
    <col min="19" max="19" width="7.00390625" style="5" hidden="1" customWidth="1"/>
    <col min="20" max="21" width="3.7109375" style="1" customWidth="1"/>
    <col min="22" max="36" width="3.7109375" style="0" customWidth="1"/>
    <col min="37" max="37" width="6.28125" style="0" customWidth="1"/>
    <col min="38" max="38" width="3.7109375" style="5" hidden="1" customWidth="1"/>
    <col min="39" max="39" width="7.00390625" style="5" hidden="1" customWidth="1"/>
    <col min="40" max="57" width="3.7109375" style="0" customWidth="1"/>
  </cols>
  <sheetData>
    <row r="1" spans="1:47" ht="12.75">
      <c r="A1" s="13"/>
      <c r="B1" s="14" t="s">
        <v>13</v>
      </c>
      <c r="C1" s="14"/>
      <c r="D1" s="14"/>
      <c r="E1" s="39"/>
      <c r="F1" s="14" t="s">
        <v>34</v>
      </c>
      <c r="G1" s="14"/>
      <c r="H1" s="14"/>
      <c r="I1" s="10" t="str">
        <f>IF(ISERROR(S5),"&lt;--Enter Valid Team Pit #",S5)</f>
        <v>&lt;--Enter Valid Team Pit #</v>
      </c>
      <c r="J1" s="11"/>
      <c r="K1" s="11"/>
      <c r="L1" s="11"/>
      <c r="M1" s="11"/>
      <c r="N1" s="11"/>
      <c r="O1" s="11"/>
      <c r="P1" s="11"/>
      <c r="Q1" s="8"/>
      <c r="R1" s="5"/>
      <c r="S1" s="6" t="b">
        <f>NOT(ISERROR(S5))</f>
        <v>0</v>
      </c>
      <c r="U1" s="60" t="s">
        <v>56</v>
      </c>
      <c r="V1" s="6" t="str">
        <f>'Score List'!C2</f>
        <v>?</v>
      </c>
      <c r="W1" s="14"/>
      <c r="X1" s="50" t="str">
        <f>IF(AM1,"(no errors)","(check entries)")</f>
        <v>(check entries)</v>
      </c>
      <c r="Y1" s="14"/>
      <c r="AA1" s="14"/>
      <c r="AB1" s="14"/>
      <c r="AC1" s="14"/>
      <c r="AD1" s="14"/>
      <c r="AE1" s="14"/>
      <c r="AF1" s="14"/>
      <c r="AI1" s="15"/>
      <c r="AJ1" s="16" t="s">
        <v>35</v>
      </c>
      <c r="AK1" s="38">
        <f>SUM(Q2:Q99,AK2:AK99)</f>
        <v>0</v>
      </c>
      <c r="AM1" s="6" t="b">
        <f>AND(S1,AM2=19,NOT(AM8),NOT(AM12))</f>
        <v>0</v>
      </c>
      <c r="AN1" s="14"/>
      <c r="AO1" s="14"/>
      <c r="AP1" s="14"/>
      <c r="AQ1" s="14"/>
      <c r="AR1" s="14"/>
      <c r="AS1" s="14"/>
      <c r="AT1" s="14"/>
      <c r="AU1" s="14"/>
    </row>
    <row r="2" spans="1:47" ht="12.75">
      <c r="A2" s="17">
        <v>1</v>
      </c>
      <c r="B2" s="18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2">
        <f>IF(R3="","",S3*S2)</f>
      </c>
      <c r="R2" s="42"/>
      <c r="S2" s="7">
        <v>6</v>
      </c>
      <c r="T2" s="14"/>
      <c r="U2" s="17">
        <v>9</v>
      </c>
      <c r="V2" s="22" t="s">
        <v>12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2">
        <f>IF(OR(AL3="",AL7=""),"",IF(AL3=2,AM4,IF(AL3=1,AM3+IF(R22=1,AM5,0),0)))</f>
      </c>
      <c r="AL2" s="49"/>
      <c r="AM2" s="6">
        <f>COUNT(R2:R36,AL2:AL36)</f>
        <v>0</v>
      </c>
      <c r="AN2" s="14"/>
      <c r="AO2" s="14"/>
      <c r="AP2" s="14"/>
      <c r="AQ2" s="14"/>
      <c r="AR2" s="14"/>
      <c r="AS2" s="14"/>
      <c r="AT2" s="14"/>
      <c r="AU2" s="14"/>
    </row>
    <row r="3" spans="1:47" ht="12.75">
      <c r="A3" s="19"/>
      <c r="B3" s="18"/>
      <c r="C3" s="15" t="s">
        <v>33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3"/>
      <c r="S3" s="3">
        <f>R3-1</f>
        <v>-1</v>
      </c>
      <c r="T3" s="25"/>
      <c r="U3" s="25"/>
      <c r="V3" s="22"/>
      <c r="W3" s="14" t="s">
        <v>32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46"/>
      <c r="AM3" s="7">
        <v>20</v>
      </c>
      <c r="AN3" s="14"/>
      <c r="AO3" s="14"/>
      <c r="AP3" s="14"/>
      <c r="AQ3" s="14"/>
      <c r="AR3" s="14"/>
      <c r="AS3" s="14"/>
      <c r="AT3" s="14"/>
      <c r="AU3" s="14"/>
    </row>
    <row r="4" spans="1:47" ht="12.75">
      <c r="A4" s="19"/>
      <c r="B4" s="18"/>
      <c r="C4" s="15"/>
      <c r="D4" s="20">
        <v>0</v>
      </c>
      <c r="E4" s="20">
        <v>1</v>
      </c>
      <c r="F4" s="20">
        <v>2</v>
      </c>
      <c r="G4" s="20">
        <v>3</v>
      </c>
      <c r="H4" s="20">
        <v>4</v>
      </c>
      <c r="I4" s="20">
        <v>5</v>
      </c>
      <c r="J4" s="20">
        <v>6</v>
      </c>
      <c r="K4" s="20">
        <v>7</v>
      </c>
      <c r="L4" s="20">
        <v>8</v>
      </c>
      <c r="M4" s="20">
        <v>9</v>
      </c>
      <c r="N4" s="20">
        <v>10</v>
      </c>
      <c r="O4" s="20">
        <v>11</v>
      </c>
      <c r="P4" s="20">
        <v>12</v>
      </c>
      <c r="Q4" s="20"/>
      <c r="R4" s="44"/>
      <c r="T4" s="14"/>
      <c r="U4" s="14"/>
      <c r="V4" s="22"/>
      <c r="W4" s="14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14"/>
      <c r="AK4" s="14"/>
      <c r="AL4" s="49"/>
      <c r="AM4" s="7">
        <v>12</v>
      </c>
      <c r="AN4" s="14"/>
      <c r="AO4" s="14"/>
      <c r="AP4" s="14"/>
      <c r="AQ4" s="14"/>
      <c r="AR4" s="14"/>
      <c r="AS4" s="14"/>
      <c r="AT4" s="14"/>
      <c r="AU4" s="14"/>
    </row>
    <row r="5" spans="1:47" ht="12.75">
      <c r="A5" s="19"/>
      <c r="B5" s="18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4"/>
      <c r="S5" s="6" t="e">
        <f>VLOOKUP(E1,Teams!$A$2:$B$99,2,FALSE)</f>
        <v>#N/A</v>
      </c>
      <c r="T5" s="14"/>
      <c r="U5" s="14"/>
      <c r="V5" s="22"/>
      <c r="W5" s="14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14"/>
      <c r="AK5" s="14"/>
      <c r="AL5" s="49"/>
      <c r="AM5" s="6">
        <f>AM7*AM6</f>
        <v>-6</v>
      </c>
      <c r="AN5" s="14"/>
      <c r="AO5" s="14"/>
      <c r="AP5" s="14"/>
      <c r="AQ5" s="14"/>
      <c r="AR5" s="14"/>
      <c r="AS5" s="14"/>
      <c r="AT5" s="14"/>
      <c r="AU5" s="14"/>
    </row>
    <row r="6" spans="1:47" ht="12.75">
      <c r="A6" s="19"/>
      <c r="B6" s="18"/>
      <c r="C6" s="1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42"/>
      <c r="T6" s="14"/>
      <c r="U6" s="14"/>
      <c r="V6" s="22"/>
      <c r="W6" s="14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14"/>
      <c r="AJ6" s="14"/>
      <c r="AK6" s="14"/>
      <c r="AL6" s="49"/>
      <c r="AM6" s="7">
        <v>6</v>
      </c>
      <c r="AN6" s="14"/>
      <c r="AO6" s="14"/>
      <c r="AP6" s="14"/>
      <c r="AQ6" s="14"/>
      <c r="AR6" s="14"/>
      <c r="AS6" s="14"/>
      <c r="AT6" s="14"/>
      <c r="AU6" s="14"/>
    </row>
    <row r="7" spans="1:47" ht="12.75">
      <c r="A7" s="17">
        <v>2</v>
      </c>
      <c r="B7" s="18" t="s">
        <v>1</v>
      </c>
      <c r="C7" s="15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6"/>
      <c r="Q7" s="2">
        <f>IF(R8="","",S8*S7)</f>
      </c>
      <c r="R7" s="42"/>
      <c r="S7" s="7">
        <v>9</v>
      </c>
      <c r="T7" s="14"/>
      <c r="U7" s="14"/>
      <c r="V7" s="22"/>
      <c r="W7" s="14" t="s">
        <v>31</v>
      </c>
      <c r="X7" s="22"/>
      <c r="Y7" s="22"/>
      <c r="Z7" s="22"/>
      <c r="AA7" s="22"/>
      <c r="AB7" s="22"/>
      <c r="AC7" s="22"/>
      <c r="AD7" s="22"/>
      <c r="AE7" s="22"/>
      <c r="AF7" s="22"/>
      <c r="AG7" s="19">
        <v>0</v>
      </c>
      <c r="AH7" s="19">
        <v>1</v>
      </c>
      <c r="AI7" s="19">
        <v>2</v>
      </c>
      <c r="AJ7" s="19">
        <v>3</v>
      </c>
      <c r="AK7" s="14"/>
      <c r="AL7" s="46"/>
      <c r="AM7" s="3">
        <f>AL7-1</f>
        <v>-1</v>
      </c>
      <c r="AN7" s="14"/>
      <c r="AO7" s="14"/>
      <c r="AP7" s="14"/>
      <c r="AQ7" s="14"/>
      <c r="AR7" s="14"/>
      <c r="AS7" s="14"/>
      <c r="AT7" s="14"/>
      <c r="AU7" s="14"/>
    </row>
    <row r="8" spans="1:47" ht="12.75">
      <c r="A8" s="19"/>
      <c r="B8" s="18"/>
      <c r="C8" s="15" t="s">
        <v>15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21"/>
      <c r="O8" s="21"/>
      <c r="P8" s="21"/>
      <c r="Q8" s="21"/>
      <c r="R8" s="43"/>
      <c r="S8" s="3">
        <f>IF(R8&gt;0,2-R8,-1)</f>
        <v>-1</v>
      </c>
      <c r="T8" s="25"/>
      <c r="U8" s="25"/>
      <c r="V8" s="22"/>
      <c r="W8" s="14"/>
      <c r="X8" s="23">
        <f>IF(AM8,"Error: too many fish!","")</f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49"/>
      <c r="AM8" s="6" t="b">
        <f>AM7+S19&gt;3</f>
        <v>0</v>
      </c>
      <c r="AN8" s="14"/>
      <c r="AO8" s="14"/>
      <c r="AP8" s="14"/>
      <c r="AQ8" s="14"/>
      <c r="AR8" s="14"/>
      <c r="AS8" s="14"/>
      <c r="AT8" s="14"/>
      <c r="AU8" s="14"/>
    </row>
    <row r="9" spans="1:47" ht="12.75">
      <c r="A9" s="19"/>
      <c r="B9" s="18"/>
      <c r="C9" s="15"/>
      <c r="D9" s="18"/>
      <c r="E9" s="18"/>
      <c r="F9" s="18"/>
      <c r="G9" s="18"/>
      <c r="H9" s="18"/>
      <c r="I9" s="18"/>
      <c r="J9" s="18"/>
      <c r="K9" s="18"/>
      <c r="L9" s="18"/>
      <c r="M9" s="18"/>
      <c r="N9" s="21"/>
      <c r="O9" s="21"/>
      <c r="P9" s="21"/>
      <c r="Q9" s="21"/>
      <c r="R9" s="45"/>
      <c r="T9" s="14"/>
      <c r="U9" s="14"/>
      <c r="V9" s="22"/>
      <c r="W9" s="14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14"/>
      <c r="AL9" s="49"/>
      <c r="AN9" s="14"/>
      <c r="AO9" s="14"/>
      <c r="AP9" s="14"/>
      <c r="AQ9" s="14"/>
      <c r="AR9" s="14"/>
      <c r="AS9" s="14"/>
      <c r="AT9" s="14"/>
      <c r="AU9" s="14"/>
    </row>
    <row r="10" spans="1:47" ht="12.75">
      <c r="A10" s="17">
        <v>3</v>
      </c>
      <c r="B10" s="18" t="s">
        <v>2</v>
      </c>
      <c r="C10" s="15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6"/>
      <c r="Q10" s="2">
        <f>IF(R11="","",S11*S10)</f>
      </c>
      <c r="R10" s="42"/>
      <c r="S10" s="7">
        <v>15</v>
      </c>
      <c r="T10" s="14"/>
      <c r="U10" s="17" t="s">
        <v>39</v>
      </c>
      <c r="V10" s="26" t="s">
        <v>36</v>
      </c>
      <c r="W10" s="27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12">
        <f>IF(AND(AL13&gt;0,AL14&gt;0),AM11*AM10,"")</f>
      </c>
      <c r="AL10" s="49"/>
      <c r="AM10" s="7">
        <v>3</v>
      </c>
      <c r="AN10" s="14"/>
      <c r="AO10" s="14"/>
      <c r="AP10" s="14"/>
      <c r="AQ10" s="14"/>
      <c r="AR10" s="14"/>
      <c r="AS10" s="14"/>
      <c r="AT10" s="14"/>
      <c r="AU10" s="14"/>
    </row>
    <row r="11" spans="1:47" ht="13.5" thickBot="1">
      <c r="A11" s="19"/>
      <c r="B11" s="22"/>
      <c r="C11" s="14" t="s">
        <v>17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9">
        <v>0</v>
      </c>
      <c r="O11" s="19">
        <v>1</v>
      </c>
      <c r="P11" s="19">
        <v>2</v>
      </c>
      <c r="Q11" s="22"/>
      <c r="R11" s="46"/>
      <c r="S11" s="3">
        <f>R11-1</f>
        <v>-1</v>
      </c>
      <c r="T11" s="25"/>
      <c r="U11" s="25"/>
      <c r="V11" s="29"/>
      <c r="W11" s="15" t="s">
        <v>27</v>
      </c>
      <c r="X11" s="18"/>
      <c r="Y11" s="18"/>
      <c r="Z11" s="18"/>
      <c r="AA11" s="30">
        <f>IF(AM12,"Error: Too many bacteria!","")</f>
      </c>
      <c r="AB11" s="18"/>
      <c r="AC11" s="18"/>
      <c r="AD11" s="18"/>
      <c r="AE11" s="18"/>
      <c r="AF11" s="18"/>
      <c r="AG11" s="18"/>
      <c r="AH11" s="18"/>
      <c r="AI11" s="14"/>
      <c r="AJ11" s="31">
        <f>IF(AM11&lt;0,"",AM13*10+AM14)</f>
      </c>
      <c r="AK11" s="32"/>
      <c r="AL11" s="49"/>
      <c r="AM11" s="6">
        <f>AM13*10+AM14</f>
        <v>-11</v>
      </c>
      <c r="AN11" s="14"/>
      <c r="AO11" s="14"/>
      <c r="AP11" s="14"/>
      <c r="AQ11" s="14"/>
      <c r="AR11" s="14"/>
      <c r="AS11" s="14"/>
      <c r="AT11" s="14"/>
      <c r="AU11" s="14"/>
    </row>
    <row r="12" spans="1:47" ht="12.75">
      <c r="A12" s="19"/>
      <c r="B12" s="22"/>
      <c r="C12" s="14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44"/>
      <c r="T12" s="14"/>
      <c r="U12" s="14"/>
      <c r="V12" s="29"/>
      <c r="W12" s="15"/>
      <c r="X12" s="25" t="s">
        <v>28</v>
      </c>
      <c r="Y12" s="18"/>
      <c r="Z12" s="18"/>
      <c r="AA12" s="20">
        <v>0</v>
      </c>
      <c r="AB12" s="20">
        <v>1</v>
      </c>
      <c r="AC12" s="20">
        <v>2</v>
      </c>
      <c r="AD12" s="20">
        <v>3</v>
      </c>
      <c r="AE12" s="20">
        <v>4</v>
      </c>
      <c r="AF12" s="20">
        <v>5</v>
      </c>
      <c r="AG12" s="20">
        <v>6</v>
      </c>
      <c r="AH12" s="18"/>
      <c r="AI12" s="18"/>
      <c r="AJ12" s="18"/>
      <c r="AK12" s="32"/>
      <c r="AL12" s="49"/>
      <c r="AM12" s="6" t="b">
        <f>AM11+S3&gt;60</f>
        <v>0</v>
      </c>
      <c r="AN12" s="14"/>
      <c r="AO12" s="14"/>
      <c r="AP12" s="14"/>
      <c r="AQ12" s="14"/>
      <c r="AR12" s="14"/>
      <c r="AS12" s="14"/>
      <c r="AT12" s="14"/>
      <c r="AU12" s="14"/>
    </row>
    <row r="13" spans="1:47" ht="12.75">
      <c r="A13" s="19"/>
      <c r="B13" s="22"/>
      <c r="C13" s="14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44"/>
      <c r="T13" s="14"/>
      <c r="U13" s="14"/>
      <c r="V13" s="29"/>
      <c r="W13" s="15"/>
      <c r="X13" s="15"/>
      <c r="Y13" s="25"/>
      <c r="Z13" s="25"/>
      <c r="AA13" s="20"/>
      <c r="AB13" s="20"/>
      <c r="AC13" s="20"/>
      <c r="AD13" s="20"/>
      <c r="AE13" s="20"/>
      <c r="AF13" s="20"/>
      <c r="AG13" s="20"/>
      <c r="AH13" s="18"/>
      <c r="AI13" s="18"/>
      <c r="AJ13" s="18"/>
      <c r="AK13" s="32"/>
      <c r="AL13" s="46"/>
      <c r="AM13" s="3">
        <f>AL13-1</f>
        <v>-1</v>
      </c>
      <c r="AN13" s="14"/>
      <c r="AO13" s="14"/>
      <c r="AP13" s="14"/>
      <c r="AQ13" s="14"/>
      <c r="AR13" s="14"/>
      <c r="AS13" s="14"/>
      <c r="AT13" s="14"/>
      <c r="AU13" s="14"/>
    </row>
    <row r="14" spans="1:47" ht="12.75">
      <c r="A14" s="17">
        <v>4</v>
      </c>
      <c r="B14" s="22" t="s">
        <v>3</v>
      </c>
      <c r="C14" s="14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6"/>
      <c r="Q14" s="2">
        <f>IF(R15="","",S15*S14)</f>
      </c>
      <c r="R14" s="44"/>
      <c r="S14" s="7">
        <v>7</v>
      </c>
      <c r="T14" s="14"/>
      <c r="U14" s="14"/>
      <c r="V14" s="29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32"/>
      <c r="AL14" s="46"/>
      <c r="AM14" s="3">
        <f>AL14-1</f>
        <v>-1</v>
      </c>
      <c r="AN14" s="14"/>
      <c r="AO14" s="14"/>
      <c r="AP14" s="14"/>
      <c r="AQ14" s="14"/>
      <c r="AR14" s="14"/>
      <c r="AS14" s="14"/>
      <c r="AT14" s="14"/>
      <c r="AU14" s="14"/>
    </row>
    <row r="15" spans="1:47" ht="12.75">
      <c r="A15" s="19"/>
      <c r="B15" s="22"/>
      <c r="C15" s="14" t="s">
        <v>16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9">
        <v>0</v>
      </c>
      <c r="O15" s="19">
        <v>1</v>
      </c>
      <c r="P15" s="19">
        <v>2</v>
      </c>
      <c r="Q15" s="22"/>
      <c r="R15" s="47"/>
      <c r="S15" s="3">
        <f>R15-1</f>
        <v>-1</v>
      </c>
      <c r="T15" s="25"/>
      <c r="U15" s="25"/>
      <c r="V15" s="29"/>
      <c r="W15" s="15"/>
      <c r="X15" s="25" t="s">
        <v>29</v>
      </c>
      <c r="Y15" s="15"/>
      <c r="Z15" s="15"/>
      <c r="AA15" s="20">
        <v>0</v>
      </c>
      <c r="AB15" s="20">
        <v>1</v>
      </c>
      <c r="AC15" s="20">
        <v>2</v>
      </c>
      <c r="AD15" s="20">
        <v>3</v>
      </c>
      <c r="AE15" s="20">
        <v>4</v>
      </c>
      <c r="AF15" s="20">
        <v>5</v>
      </c>
      <c r="AG15" s="20">
        <v>6</v>
      </c>
      <c r="AH15" s="20">
        <v>7</v>
      </c>
      <c r="AI15" s="20">
        <v>8</v>
      </c>
      <c r="AJ15" s="20">
        <v>9</v>
      </c>
      <c r="AK15" s="32"/>
      <c r="AL15" s="49"/>
      <c r="AN15" s="14"/>
      <c r="AO15" s="14"/>
      <c r="AP15" s="14"/>
      <c r="AQ15" s="14"/>
      <c r="AR15" s="14"/>
      <c r="AS15" s="14"/>
      <c r="AT15" s="14"/>
      <c r="AU15" s="14"/>
    </row>
    <row r="16" spans="1:47" ht="12.75">
      <c r="A16" s="19"/>
      <c r="B16" s="22"/>
      <c r="C16" s="14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44"/>
      <c r="T16" s="14"/>
      <c r="U16" s="14"/>
      <c r="V16" s="29"/>
      <c r="W16" s="15"/>
      <c r="X16" s="15"/>
      <c r="Y16" s="25"/>
      <c r="Z16" s="2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32"/>
      <c r="AL16" s="49"/>
      <c r="AN16" s="14"/>
      <c r="AO16" s="14"/>
      <c r="AP16" s="14"/>
      <c r="AQ16" s="14"/>
      <c r="AR16" s="14"/>
      <c r="AS16" s="14"/>
      <c r="AT16" s="14"/>
      <c r="AU16" s="14"/>
    </row>
    <row r="17" spans="1:47" ht="12.75">
      <c r="A17" s="19"/>
      <c r="B17" s="22"/>
      <c r="C17" s="14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44"/>
      <c r="T17" s="14"/>
      <c r="U17" s="14"/>
      <c r="V17" s="3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5"/>
      <c r="AL17" s="49"/>
      <c r="AN17" s="14"/>
      <c r="AO17" s="14"/>
      <c r="AP17" s="14"/>
      <c r="AQ17" s="14"/>
      <c r="AR17" s="14"/>
      <c r="AS17" s="14"/>
      <c r="AT17" s="14"/>
      <c r="AU17" s="14"/>
    </row>
    <row r="18" spans="1:47" ht="12.75">
      <c r="A18" s="17">
        <v>5</v>
      </c>
      <c r="B18" s="22" t="s">
        <v>4</v>
      </c>
      <c r="C18" s="14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">
        <f>IF(OR(R19="",R22=""),"",S19*S18)</f>
      </c>
      <c r="R18" s="44"/>
      <c r="S18" s="7">
        <v>3</v>
      </c>
      <c r="T18" s="14"/>
      <c r="U18" s="37" t="s">
        <v>38</v>
      </c>
      <c r="V18" s="22" t="s">
        <v>37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2">
        <f>IF(AL19="","",AM19)</f>
      </c>
      <c r="AL18" s="49"/>
      <c r="AN18" s="14"/>
      <c r="AO18" s="14"/>
      <c r="AP18" s="14"/>
      <c r="AQ18" s="14"/>
      <c r="AR18" s="14"/>
      <c r="AS18" s="14"/>
      <c r="AT18" s="14"/>
      <c r="AU18" s="14"/>
    </row>
    <row r="19" spans="1:47" ht="12.75">
      <c r="A19" s="19"/>
      <c r="B19" s="22"/>
      <c r="C19" s="14" t="s">
        <v>18</v>
      </c>
      <c r="D19" s="22"/>
      <c r="E19" s="22"/>
      <c r="F19" s="22"/>
      <c r="G19" s="22"/>
      <c r="H19" s="22"/>
      <c r="I19" s="22"/>
      <c r="J19" s="22"/>
      <c r="K19" s="22"/>
      <c r="L19" s="22"/>
      <c r="M19" s="19">
        <v>0</v>
      </c>
      <c r="N19" s="19">
        <v>1</v>
      </c>
      <c r="O19" s="19">
        <v>2</v>
      </c>
      <c r="P19" s="19">
        <v>3</v>
      </c>
      <c r="Q19" s="22"/>
      <c r="R19" s="47"/>
      <c r="S19" s="3">
        <f>(R19-1)*S22</f>
        <v>1</v>
      </c>
      <c r="T19" s="25"/>
      <c r="U19" s="25"/>
      <c r="V19" s="14"/>
      <c r="W19" s="14" t="s">
        <v>30</v>
      </c>
      <c r="X19" s="22"/>
      <c r="Y19" s="22"/>
      <c r="Z19" s="22"/>
      <c r="AA19" s="22"/>
      <c r="AB19" s="22"/>
      <c r="AC19" s="22"/>
      <c r="AD19" s="22"/>
      <c r="AE19" s="22"/>
      <c r="AF19" s="22"/>
      <c r="AG19" s="36"/>
      <c r="AH19" s="22"/>
      <c r="AI19" s="22"/>
      <c r="AJ19" s="36"/>
      <c r="AK19" s="14"/>
      <c r="AL19" s="46"/>
      <c r="AM19" s="6">
        <f>IF(AL19=1,0,IF(AL19=2,6,IF(AL19=3,13,0)))</f>
        <v>0</v>
      </c>
      <c r="AN19" s="14"/>
      <c r="AO19" s="14"/>
      <c r="AP19" s="14"/>
      <c r="AQ19" s="14"/>
      <c r="AR19" s="14"/>
      <c r="AS19" s="14"/>
      <c r="AT19" s="14"/>
      <c r="AU19" s="14"/>
    </row>
    <row r="20" spans="1:47" ht="12.75">
      <c r="A20" s="19"/>
      <c r="B20" s="22"/>
      <c r="C20" s="14"/>
      <c r="D20" s="23">
        <f>IF(AM8,"Error: too many fish!","")</f>
      </c>
      <c r="E20" s="22"/>
      <c r="F20" s="22"/>
      <c r="G20" s="22"/>
      <c r="H20" s="22"/>
      <c r="I20" s="22"/>
      <c r="J20" s="22"/>
      <c r="K20" s="22"/>
      <c r="L20" s="22"/>
      <c r="M20" s="19"/>
      <c r="N20" s="19"/>
      <c r="O20" s="19"/>
      <c r="P20" s="19"/>
      <c r="Q20" s="22"/>
      <c r="R20" s="4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49"/>
      <c r="AN20" s="14"/>
      <c r="AO20" s="14"/>
      <c r="AP20" s="14"/>
      <c r="AQ20" s="14"/>
      <c r="AR20" s="14"/>
      <c r="AS20" s="14"/>
      <c r="AT20" s="14"/>
      <c r="AU20" s="14"/>
    </row>
    <row r="21" spans="1:47" ht="12.75">
      <c r="A21" s="19"/>
      <c r="B21" s="22"/>
      <c r="C21" s="1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4"/>
      <c r="O21" s="24"/>
      <c r="P21" s="24"/>
      <c r="Q21" s="24"/>
      <c r="R21" s="48"/>
      <c r="T21" s="14"/>
      <c r="U21" s="17">
        <v>11</v>
      </c>
      <c r="V21" s="22" t="s">
        <v>11</v>
      </c>
      <c r="W21" s="14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">
        <f>IF(AL22="","",AM22*AM21)</f>
      </c>
      <c r="AL21" s="42"/>
      <c r="AM21" s="7">
        <v>20</v>
      </c>
      <c r="AN21" s="14"/>
      <c r="AO21" s="14"/>
      <c r="AP21" s="14"/>
      <c r="AQ21" s="14"/>
      <c r="AR21" s="14"/>
      <c r="AS21" s="14"/>
      <c r="AT21" s="14"/>
      <c r="AU21" s="14"/>
    </row>
    <row r="22" spans="1:47" ht="12.75">
      <c r="A22" s="19"/>
      <c r="B22" s="22"/>
      <c r="C22" s="14" t="s">
        <v>19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47"/>
      <c r="S22" s="3">
        <f>IF(R22&gt;0,2-R22,-1)</f>
        <v>-1</v>
      </c>
      <c r="T22" s="25"/>
      <c r="U22" s="25"/>
      <c r="V22" s="22"/>
      <c r="W22" s="14" t="s">
        <v>26</v>
      </c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4"/>
      <c r="AI22" s="24"/>
      <c r="AJ22" s="24"/>
      <c r="AK22" s="21"/>
      <c r="AL22" s="43"/>
      <c r="AM22" s="3">
        <f>IF(AL22&gt;0,2-AL22,-1)</f>
        <v>-1</v>
      </c>
      <c r="AN22" s="14"/>
      <c r="AO22" s="14"/>
      <c r="AP22" s="14"/>
      <c r="AQ22" s="14"/>
      <c r="AR22" s="14"/>
      <c r="AS22" s="14"/>
      <c r="AT22" s="14"/>
      <c r="AU22" s="14"/>
    </row>
    <row r="23" spans="1:47" ht="12.75">
      <c r="A23" s="19"/>
      <c r="B23" s="22"/>
      <c r="C23" s="14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4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49"/>
      <c r="AN23" s="14"/>
      <c r="AO23" s="14"/>
      <c r="AP23" s="14"/>
      <c r="AQ23" s="14"/>
      <c r="AR23" s="14"/>
      <c r="AS23" s="14"/>
      <c r="AT23" s="14"/>
      <c r="AU23" s="14"/>
    </row>
    <row r="24" spans="1:47" ht="12.75">
      <c r="A24" s="17">
        <v>6</v>
      </c>
      <c r="B24" s="22" t="s">
        <v>5</v>
      </c>
      <c r="C24" s="1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">
        <f>IF(OR(R25="",R28=""),"",S25*S24)</f>
      </c>
      <c r="R24" s="44"/>
      <c r="S24" s="6">
        <f>IF(S28=1,S27,S26)</f>
        <v>12</v>
      </c>
      <c r="T24" s="14"/>
      <c r="U24" s="17">
        <v>12</v>
      </c>
      <c r="V24" s="22" t="s">
        <v>10</v>
      </c>
      <c r="W24" s="14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">
        <f>IF(AL25="","",AM25*AM24)</f>
      </c>
      <c r="AL24" s="42"/>
      <c r="AM24" s="7">
        <v>14</v>
      </c>
      <c r="AN24" s="14"/>
      <c r="AO24" s="14"/>
      <c r="AP24" s="14"/>
      <c r="AQ24" s="14"/>
      <c r="AR24" s="14"/>
      <c r="AS24" s="14"/>
      <c r="AT24" s="14"/>
      <c r="AU24" s="14"/>
    </row>
    <row r="25" spans="1:47" ht="12.75">
      <c r="A25" s="19"/>
      <c r="B25" s="22"/>
      <c r="C25" s="14" t="s">
        <v>20</v>
      </c>
      <c r="D25" s="22"/>
      <c r="E25" s="22"/>
      <c r="F25" s="22"/>
      <c r="G25" s="22"/>
      <c r="H25" s="22"/>
      <c r="I25" s="22"/>
      <c r="J25" s="22"/>
      <c r="K25" s="22"/>
      <c r="L25" s="19">
        <v>0</v>
      </c>
      <c r="M25" s="19">
        <v>1</v>
      </c>
      <c r="N25" s="19">
        <v>2</v>
      </c>
      <c r="O25" s="19">
        <v>3</v>
      </c>
      <c r="P25" s="19">
        <v>4</v>
      </c>
      <c r="Q25" s="22"/>
      <c r="R25" s="47"/>
      <c r="S25" s="3">
        <f>R25-1</f>
        <v>-1</v>
      </c>
      <c r="T25" s="25"/>
      <c r="U25" s="25"/>
      <c r="V25" s="22"/>
      <c r="W25" s="14" t="s">
        <v>14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4"/>
      <c r="AI25" s="24"/>
      <c r="AJ25" s="24"/>
      <c r="AK25" s="14"/>
      <c r="AL25" s="43"/>
      <c r="AM25" s="3">
        <f>IF(AL25&gt;0,2-AL25,-1)</f>
        <v>-1</v>
      </c>
      <c r="AN25" s="14"/>
      <c r="AO25" s="14"/>
      <c r="AP25" s="14"/>
      <c r="AQ25" s="14"/>
      <c r="AR25" s="14"/>
      <c r="AS25" s="14"/>
      <c r="AT25" s="14"/>
      <c r="AU25" s="14"/>
    </row>
    <row r="26" spans="1:47" ht="12.75">
      <c r="A26" s="19"/>
      <c r="B26" s="22"/>
      <c r="C26" s="14"/>
      <c r="D26" s="22"/>
      <c r="E26" s="22"/>
      <c r="F26" s="22"/>
      <c r="G26" s="22"/>
      <c r="H26" s="22"/>
      <c r="I26" s="22"/>
      <c r="J26" s="22"/>
      <c r="K26" s="22"/>
      <c r="L26" s="19"/>
      <c r="M26" s="19"/>
      <c r="N26" s="19"/>
      <c r="O26" s="19"/>
      <c r="P26" s="19"/>
      <c r="Q26" s="22"/>
      <c r="R26" s="44"/>
      <c r="S26" s="7">
        <v>12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49"/>
      <c r="AN26" s="14"/>
      <c r="AO26" s="14"/>
      <c r="AP26" s="14"/>
      <c r="AQ26" s="14"/>
      <c r="AR26" s="14"/>
      <c r="AS26" s="14"/>
      <c r="AT26" s="14"/>
      <c r="AU26" s="14"/>
    </row>
    <row r="27" spans="1:47" ht="12.75">
      <c r="A27" s="19"/>
      <c r="B27" s="22"/>
      <c r="C27" s="14"/>
      <c r="D27" s="22"/>
      <c r="E27" s="22"/>
      <c r="F27" s="22"/>
      <c r="G27" s="22"/>
      <c r="H27" s="22"/>
      <c r="I27" s="22"/>
      <c r="J27" s="22"/>
      <c r="K27" s="22"/>
      <c r="L27" s="19"/>
      <c r="M27" s="19"/>
      <c r="N27" s="19"/>
      <c r="O27" s="19"/>
      <c r="P27" s="19"/>
      <c r="Q27" s="24"/>
      <c r="R27" s="48"/>
      <c r="S27" s="7">
        <v>7</v>
      </c>
      <c r="T27" s="14"/>
      <c r="U27" s="17">
        <v>13</v>
      </c>
      <c r="V27" s="22" t="s">
        <v>9</v>
      </c>
      <c r="W27" s="14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16"/>
      <c r="AK27" s="2">
        <f>IF(AM28&lt;0,"",AM28*AM27)</f>
      </c>
      <c r="AL27" s="49"/>
      <c r="AM27" s="7">
        <v>2</v>
      </c>
      <c r="AN27" s="14"/>
      <c r="AO27" s="14"/>
      <c r="AP27" s="14"/>
      <c r="AQ27" s="14"/>
      <c r="AR27" s="14"/>
      <c r="AS27" s="14"/>
      <c r="AT27" s="14"/>
      <c r="AU27" s="14"/>
    </row>
    <row r="28" spans="1:47" ht="12.75">
      <c r="A28" s="19"/>
      <c r="B28" s="22"/>
      <c r="C28" s="14" t="s">
        <v>21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4"/>
      <c r="O28" s="24"/>
      <c r="P28" s="24"/>
      <c r="Q28" s="22"/>
      <c r="R28" s="47"/>
      <c r="S28" s="3">
        <f>IF(R28&gt;0,2-R28,-1)</f>
        <v>-1</v>
      </c>
      <c r="T28" s="25"/>
      <c r="U28" s="25"/>
      <c r="V28" s="14"/>
      <c r="W28" s="14" t="s">
        <v>25</v>
      </c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14"/>
      <c r="AL28" s="46"/>
      <c r="AM28" s="3">
        <f>AL28-1</f>
        <v>-1</v>
      </c>
      <c r="AN28" s="14"/>
      <c r="AO28" s="14"/>
      <c r="AP28" s="14"/>
      <c r="AQ28" s="14"/>
      <c r="AR28" s="14"/>
      <c r="AS28" s="14"/>
      <c r="AT28" s="14"/>
      <c r="AU28" s="14"/>
    </row>
    <row r="29" spans="1:47" ht="12.75">
      <c r="A29" s="19"/>
      <c r="B29" s="22"/>
      <c r="C29" s="1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4"/>
      <c r="O29" s="24"/>
      <c r="P29" s="24"/>
      <c r="Q29" s="24"/>
      <c r="R29" s="48"/>
      <c r="T29" s="14"/>
      <c r="U29" s="14"/>
      <c r="V29" s="22"/>
      <c r="W29" s="14"/>
      <c r="X29" s="19">
        <v>0</v>
      </c>
      <c r="Y29" s="19">
        <v>1</v>
      </c>
      <c r="Z29" s="19">
        <v>2</v>
      </c>
      <c r="AA29" s="19">
        <v>3</v>
      </c>
      <c r="AB29" s="19">
        <v>4</v>
      </c>
      <c r="AC29" s="19">
        <v>5</v>
      </c>
      <c r="AD29" s="19">
        <v>6</v>
      </c>
      <c r="AE29" s="19">
        <v>7</v>
      </c>
      <c r="AF29" s="19">
        <v>8</v>
      </c>
      <c r="AG29" s="19">
        <v>9</v>
      </c>
      <c r="AH29" s="19">
        <v>10</v>
      </c>
      <c r="AI29" s="19">
        <v>11</v>
      </c>
      <c r="AJ29" s="19">
        <v>12</v>
      </c>
      <c r="AK29" s="14"/>
      <c r="AL29" s="49"/>
      <c r="AN29" s="14"/>
      <c r="AO29" s="14"/>
      <c r="AP29" s="14"/>
      <c r="AQ29" s="14"/>
      <c r="AR29" s="14"/>
      <c r="AS29" s="14"/>
      <c r="AT29" s="14"/>
      <c r="AU29" s="14"/>
    </row>
    <row r="30" spans="1:47" ht="12.75">
      <c r="A30" s="17">
        <v>7</v>
      </c>
      <c r="B30" s="22" t="s">
        <v>6</v>
      </c>
      <c r="C30" s="14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">
        <f>IF(R31="","",S30)</f>
      </c>
      <c r="R30" s="44"/>
      <c r="S30" s="6">
        <f>IF(R31=1,S31,IF(R31=2,S32,0))</f>
        <v>0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49"/>
      <c r="AN30" s="14"/>
      <c r="AO30" s="14"/>
      <c r="AP30" s="14"/>
      <c r="AQ30" s="14"/>
      <c r="AR30" s="14"/>
      <c r="AS30" s="14"/>
      <c r="AT30" s="14"/>
      <c r="AU30" s="14"/>
    </row>
    <row r="31" spans="1:47" ht="12.75">
      <c r="A31" s="19"/>
      <c r="B31" s="22"/>
      <c r="C31" s="14" t="s">
        <v>22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4"/>
      <c r="Q31" s="24"/>
      <c r="R31" s="47"/>
      <c r="S31" s="7">
        <v>9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49"/>
      <c r="AN31" s="14"/>
      <c r="AO31" s="14"/>
      <c r="AP31" s="14"/>
      <c r="AQ31" s="14"/>
      <c r="AR31" s="14"/>
      <c r="AS31" s="14"/>
      <c r="AT31" s="14"/>
      <c r="AU31" s="14"/>
    </row>
    <row r="32" spans="1:47" ht="12.75">
      <c r="A32" s="19"/>
      <c r="B32" s="22"/>
      <c r="C32" s="1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4"/>
      <c r="Q32" s="24"/>
      <c r="R32" s="48"/>
      <c r="S32" s="7">
        <v>5</v>
      </c>
      <c r="T32" s="14"/>
      <c r="U32" s="17">
        <v>14</v>
      </c>
      <c r="V32" s="22" t="s">
        <v>8</v>
      </c>
      <c r="W32" s="14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">
        <f>IF(AL33="","",AM33*AM32)</f>
      </c>
      <c r="AL32" s="42"/>
      <c r="AM32" s="7">
        <v>9</v>
      </c>
      <c r="AN32" s="14"/>
      <c r="AO32" s="14"/>
      <c r="AP32" s="14"/>
      <c r="AQ32" s="14"/>
      <c r="AR32" s="14"/>
      <c r="AS32" s="14"/>
      <c r="AT32" s="14"/>
      <c r="AU32" s="14"/>
    </row>
    <row r="33" spans="1:47" ht="12.75">
      <c r="A33" s="17">
        <v>8</v>
      </c>
      <c r="B33" s="22" t="s">
        <v>7</v>
      </c>
      <c r="C33" s="1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">
        <f>IF(R34="","",S34*S33)</f>
      </c>
      <c r="R33" s="44"/>
      <c r="S33" s="7">
        <v>4</v>
      </c>
      <c r="T33" s="14"/>
      <c r="U33" s="14"/>
      <c r="V33" s="14"/>
      <c r="W33" s="14" t="s">
        <v>24</v>
      </c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4"/>
      <c r="AI33" s="24"/>
      <c r="AJ33" s="24"/>
      <c r="AK33" s="21"/>
      <c r="AL33" s="43"/>
      <c r="AM33" s="3">
        <f>IF(AL33&gt;0,2-AL33,-1)</f>
        <v>-1</v>
      </c>
      <c r="AN33" s="14"/>
      <c r="AO33" s="14"/>
      <c r="AP33" s="14"/>
      <c r="AQ33" s="14"/>
      <c r="AR33" s="14"/>
      <c r="AS33" s="14"/>
      <c r="AT33" s="14"/>
      <c r="AU33" s="14"/>
    </row>
    <row r="34" spans="1:47" ht="12.75">
      <c r="A34" s="19"/>
      <c r="B34" s="14"/>
      <c r="C34" s="14" t="s">
        <v>23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9">
        <v>0</v>
      </c>
      <c r="O34" s="19">
        <v>1</v>
      </c>
      <c r="P34" s="19">
        <v>2</v>
      </c>
      <c r="Q34" s="22"/>
      <c r="R34" s="47"/>
      <c r="S34" s="3">
        <f>R34-1</f>
        <v>-1</v>
      </c>
      <c r="T34" s="25"/>
      <c r="U34" s="25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49"/>
      <c r="AN34" s="14"/>
      <c r="AO34" s="14"/>
      <c r="AP34" s="14"/>
      <c r="AQ34" s="14"/>
      <c r="AR34" s="14"/>
      <c r="AS34" s="14"/>
      <c r="AT34" s="14"/>
      <c r="AU34" s="14"/>
    </row>
    <row r="35" spans="1:47" ht="12.75" customHeight="1">
      <c r="A35" s="19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4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49"/>
      <c r="AN35" s="14"/>
      <c r="AO35" s="14"/>
      <c r="AP35" s="14"/>
      <c r="AQ35" s="14"/>
      <c r="AR35" s="14"/>
      <c r="AS35" s="14"/>
      <c r="AT35" s="14"/>
      <c r="AU35" s="14"/>
    </row>
    <row r="36" spans="1:47" ht="12.75" customHeight="1">
      <c r="A36" s="19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44"/>
      <c r="T36" s="14"/>
      <c r="U36" s="14" t="str">
        <f>IF(AM36="","",AM36)</f>
        <v>Score List row 79: Team 5 Gutbusters score #4: 128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49"/>
      <c r="AM36" s="61" t="s">
        <v>218</v>
      </c>
      <c r="AN36" s="14"/>
      <c r="AO36" s="14"/>
      <c r="AP36" s="14"/>
      <c r="AQ36" s="14"/>
      <c r="AR36" s="14"/>
      <c r="AS36" s="14"/>
      <c r="AT36" s="14"/>
      <c r="AU36" s="14"/>
    </row>
    <row r="37" spans="1:47" ht="12.75" customHeight="1">
      <c r="A37" s="13"/>
      <c r="B37" s="14"/>
      <c r="C37" s="14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N37" s="14"/>
      <c r="AO37" s="14"/>
      <c r="AP37" s="14"/>
      <c r="AQ37" s="14"/>
      <c r="AR37" s="14"/>
      <c r="AS37" s="14"/>
      <c r="AT37" s="14"/>
      <c r="AU37" s="14"/>
    </row>
    <row r="38" spans="1:47" ht="12.7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24"/>
      <c r="AK38" s="14"/>
      <c r="AN38" s="14"/>
      <c r="AO38" s="14"/>
      <c r="AP38" s="14"/>
      <c r="AQ38" s="14"/>
      <c r="AR38" s="14"/>
      <c r="AS38" s="14"/>
      <c r="AT38" s="14"/>
      <c r="AU38" s="14"/>
    </row>
    <row r="39" spans="1:47" ht="12.7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24"/>
      <c r="AK39" s="14"/>
      <c r="AN39" s="14"/>
      <c r="AO39" s="14"/>
      <c r="AP39" s="14"/>
      <c r="AQ39" s="14"/>
      <c r="AR39" s="14"/>
      <c r="AS39" s="14"/>
      <c r="AT39" s="14"/>
      <c r="AU39" s="14"/>
    </row>
    <row r="40" spans="1:47" ht="12.7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24"/>
      <c r="AK40" s="14"/>
      <c r="AN40" s="14"/>
      <c r="AO40" s="14"/>
      <c r="AP40" s="14"/>
      <c r="AQ40" s="14"/>
      <c r="AR40" s="14"/>
      <c r="AS40" s="14"/>
      <c r="AT40" s="14"/>
      <c r="AU40" s="14"/>
    </row>
    <row r="41" spans="1:47" ht="12.7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N41" s="14"/>
      <c r="AO41" s="14"/>
      <c r="AP41" s="14"/>
      <c r="AQ41" s="14"/>
      <c r="AR41" s="14"/>
      <c r="AS41" s="14"/>
      <c r="AT41" s="14"/>
      <c r="AU41" s="14"/>
    </row>
    <row r="42" ht="12.75" customHeight="1"/>
  </sheetData>
  <sheetProtection sheet="1" objects="1" scenarios="1"/>
  <conditionalFormatting sqref="Q2 Q7 Q10 Q14 Q18 Q24 Q30 Q33 AK27 AK2 AK10 AK18 AK21 AK24 AK32">
    <cfRule type="cellIs" priority="1" dxfId="5" operator="equal" stopIfTrue="1">
      <formula>""</formula>
    </cfRule>
  </conditionalFormatting>
  <conditionalFormatting sqref="E1">
    <cfRule type="cellIs" priority="2" dxfId="6" operator="greaterThan" stopIfTrue="1">
      <formula>0</formula>
    </cfRule>
  </conditionalFormatting>
  <conditionalFormatting sqref="I1:Q1">
    <cfRule type="expression" priority="3" dxfId="5" stopIfTrue="1">
      <formula>NOT($S$1)</formula>
    </cfRule>
  </conditionalFormatting>
  <conditionalFormatting sqref="X1">
    <cfRule type="expression" priority="4" dxfId="7" stopIfTrue="1">
      <formula>AM1</formula>
    </cfRule>
  </conditionalFormatting>
  <conditionalFormatting sqref="AK1">
    <cfRule type="expression" priority="5" dxfId="5" stopIfTrue="1">
      <formula>NOT(AM1)</formula>
    </cfRule>
  </conditionalFormatting>
  <conditionalFormatting sqref="V1">
    <cfRule type="cellIs" priority="6" dxfId="5" operator="equal" stopIfTrue="1">
      <formula>"?"</formula>
    </cfRule>
  </conditionalFormatting>
  <printOptions/>
  <pageMargins left="0.75" right="0.75" top="1" bottom="1" header="0.5" footer="0.5"/>
  <pageSetup fitToHeight="1" fitToWidth="1" horizontalDpi="600" verticalDpi="600" orientation="landscape" scale="8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T79"/>
  <sheetViews>
    <sheetView workbookViewId="0" topLeftCell="A50">
      <selection activeCell="A79" sqref="A79:T79"/>
    </sheetView>
  </sheetViews>
  <sheetFormatPr defaultColWidth="9.140625" defaultRowHeight="12.75"/>
  <cols>
    <col min="1" max="1" width="3.28125" style="52" bestFit="1" customWidth="1"/>
    <col min="2" max="2" width="21.8515625" style="52" customWidth="1"/>
    <col min="3" max="3" width="3.28125" style="52" bestFit="1" customWidth="1"/>
    <col min="4" max="4" width="8.140625" style="52" customWidth="1"/>
    <col min="5" max="19" width="3.28125" style="52" bestFit="1" customWidth="1"/>
    <col min="20" max="20" width="6.8515625" style="52" customWidth="1"/>
  </cols>
  <sheetData>
    <row r="1" spans="1:19" ht="73.5" customHeight="1">
      <c r="A1" s="55" t="s">
        <v>43</v>
      </c>
      <c r="B1" s="53" t="s">
        <v>42</v>
      </c>
      <c r="C1" s="55" t="s">
        <v>44</v>
      </c>
      <c r="D1" s="54" t="s">
        <v>45</v>
      </c>
      <c r="E1" s="55" t="s">
        <v>0</v>
      </c>
      <c r="F1" s="55" t="s">
        <v>46</v>
      </c>
      <c r="G1" s="55" t="s">
        <v>55</v>
      </c>
      <c r="H1" s="55" t="s">
        <v>47</v>
      </c>
      <c r="I1" s="55" t="s">
        <v>4</v>
      </c>
      <c r="J1" s="55" t="s">
        <v>5</v>
      </c>
      <c r="K1" s="55" t="s">
        <v>6</v>
      </c>
      <c r="L1" s="55" t="s">
        <v>48</v>
      </c>
      <c r="M1" s="55" t="s">
        <v>49</v>
      </c>
      <c r="N1" s="55" t="s">
        <v>50</v>
      </c>
      <c r="O1" s="55" t="s">
        <v>51</v>
      </c>
      <c r="P1" s="55" t="s">
        <v>52</v>
      </c>
      <c r="Q1" s="55" t="s">
        <v>53</v>
      </c>
      <c r="R1" s="55" t="s">
        <v>9</v>
      </c>
      <c r="S1" s="55" t="s">
        <v>54</v>
      </c>
    </row>
    <row r="2" spans="1:20" ht="13.5" thickBot="1">
      <c r="A2" s="56">
        <f>'Score Entry'!E1</f>
        <v>0</v>
      </c>
      <c r="B2" s="56" t="str">
        <f>'Score Entry'!I1</f>
        <v>&lt;--Enter Valid Team Pit #</v>
      </c>
      <c r="C2" s="56" t="str">
        <f>IF(A2,COUNTIF(A4:A974,A2)+1,"?")</f>
        <v>?</v>
      </c>
      <c r="D2" s="56">
        <f>'Score Entry'!AK1</f>
        <v>0</v>
      </c>
      <c r="E2" s="56">
        <f>'Score Entry'!Q2</f>
      </c>
      <c r="F2" s="56">
        <f>'Score Entry'!Q7</f>
      </c>
      <c r="G2" s="56">
        <f>'Score Entry'!Q10</f>
      </c>
      <c r="H2" s="56">
        <f>'Score Entry'!Q14</f>
      </c>
      <c r="I2" s="56">
        <f>'Score Entry'!Q18</f>
      </c>
      <c r="J2" s="56">
        <f>'Score Entry'!Q24</f>
      </c>
      <c r="K2" s="56">
        <f>'Score Entry'!Q30</f>
      </c>
      <c r="L2" s="56">
        <f>'Score Entry'!Q33</f>
      </c>
      <c r="M2" s="56">
        <f>'Score Entry'!AK2</f>
      </c>
      <c r="N2" s="56">
        <f>'Score Entry'!AK10</f>
      </c>
      <c r="O2" s="56">
        <f>'Score Entry'!AK18</f>
      </c>
      <c r="P2" s="56">
        <f>'Score Entry'!AK21</f>
      </c>
      <c r="Q2" s="56">
        <f>'Score Entry'!AK24</f>
      </c>
      <c r="R2" s="56">
        <f>'Score Entry'!AK27</f>
      </c>
      <c r="S2" s="56">
        <f>'Score Entry'!AK32</f>
      </c>
      <c r="T2" s="56" t="str">
        <f>A2&amp;"R"&amp;C2</f>
        <v>0R?</v>
      </c>
    </row>
    <row r="3" spans="1:20" ht="13.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2.75">
      <c r="A4" s="59">
        <v>10</v>
      </c>
      <c r="B4" s="59" t="s">
        <v>124</v>
      </c>
      <c r="C4" s="59">
        <v>1</v>
      </c>
      <c r="D4" s="59">
        <v>124</v>
      </c>
      <c r="E4" s="59">
        <v>72</v>
      </c>
      <c r="F4" s="59">
        <v>9</v>
      </c>
      <c r="G4" s="59">
        <v>15</v>
      </c>
      <c r="H4" s="59">
        <v>7</v>
      </c>
      <c r="I4" s="59">
        <v>0</v>
      </c>
      <c r="J4" s="59">
        <v>7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14</v>
      </c>
      <c r="S4" s="59">
        <v>0</v>
      </c>
      <c r="T4" s="71" t="s">
        <v>144</v>
      </c>
    </row>
    <row r="5" spans="1:20" ht="12.75">
      <c r="A5" s="58">
        <v>26</v>
      </c>
      <c r="B5" s="58" t="s">
        <v>139</v>
      </c>
      <c r="C5" s="58">
        <v>1</v>
      </c>
      <c r="D5" s="58">
        <v>80</v>
      </c>
      <c r="E5" s="58">
        <v>48</v>
      </c>
      <c r="F5" s="58">
        <v>0</v>
      </c>
      <c r="G5" s="58">
        <v>0</v>
      </c>
      <c r="H5" s="58">
        <v>0</v>
      </c>
      <c r="I5" s="58">
        <v>3</v>
      </c>
      <c r="J5" s="58">
        <v>0</v>
      </c>
      <c r="K5" s="58">
        <v>5</v>
      </c>
      <c r="L5" s="58">
        <v>4</v>
      </c>
      <c r="M5" s="58">
        <v>20</v>
      </c>
      <c r="N5" s="58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71" t="s">
        <v>145</v>
      </c>
    </row>
    <row r="6" spans="1:20" ht="12.75">
      <c r="A6" s="58">
        <v>19</v>
      </c>
      <c r="B6" s="58" t="s">
        <v>132</v>
      </c>
      <c r="C6" s="58">
        <v>1</v>
      </c>
      <c r="D6" s="58">
        <v>111</v>
      </c>
      <c r="E6" s="58">
        <v>66</v>
      </c>
      <c r="F6" s="58">
        <v>9</v>
      </c>
      <c r="G6" s="58">
        <v>0</v>
      </c>
      <c r="H6" s="58">
        <v>0</v>
      </c>
      <c r="I6" s="58">
        <v>0</v>
      </c>
      <c r="J6" s="58">
        <v>7</v>
      </c>
      <c r="K6" s="58">
        <v>9</v>
      </c>
      <c r="L6" s="58">
        <v>0</v>
      </c>
      <c r="M6" s="58">
        <v>20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71" t="s">
        <v>146</v>
      </c>
    </row>
    <row r="7" spans="1:20" ht="12.75">
      <c r="A7" s="58">
        <v>14</v>
      </c>
      <c r="B7" s="58" t="s">
        <v>127</v>
      </c>
      <c r="C7" s="58">
        <v>1</v>
      </c>
      <c r="D7" s="58">
        <v>97</v>
      </c>
      <c r="E7" s="58">
        <v>72</v>
      </c>
      <c r="F7" s="58">
        <v>9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4</v>
      </c>
      <c r="M7" s="58">
        <v>12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71" t="s">
        <v>147</v>
      </c>
    </row>
    <row r="8" spans="1:20" ht="12.75">
      <c r="A8" s="58">
        <v>3</v>
      </c>
      <c r="B8" s="58" t="s">
        <v>119</v>
      </c>
      <c r="C8" s="58">
        <v>1</v>
      </c>
      <c r="D8" s="58">
        <v>85</v>
      </c>
      <c r="E8" s="58">
        <v>60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5</v>
      </c>
      <c r="L8" s="58">
        <v>8</v>
      </c>
      <c r="M8" s="58">
        <v>12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71" t="s">
        <v>143</v>
      </c>
    </row>
    <row r="9" spans="1:20" ht="12.75">
      <c r="A9" s="58">
        <v>17</v>
      </c>
      <c r="B9" s="58" t="s">
        <v>130</v>
      </c>
      <c r="C9" s="58">
        <v>1</v>
      </c>
      <c r="D9" s="58">
        <v>107</v>
      </c>
      <c r="E9" s="58">
        <v>66</v>
      </c>
      <c r="F9" s="58">
        <v>0</v>
      </c>
      <c r="G9" s="58">
        <v>0</v>
      </c>
      <c r="H9" s="58">
        <v>0</v>
      </c>
      <c r="I9" s="58">
        <v>9</v>
      </c>
      <c r="J9" s="58">
        <v>14</v>
      </c>
      <c r="K9" s="58">
        <v>5</v>
      </c>
      <c r="L9" s="58">
        <v>4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9</v>
      </c>
      <c r="T9" s="71" t="s">
        <v>148</v>
      </c>
    </row>
    <row r="10" spans="1:20" ht="12.75">
      <c r="A10" s="58">
        <v>5</v>
      </c>
      <c r="B10" s="58" t="s">
        <v>120</v>
      </c>
      <c r="C10" s="58">
        <v>1</v>
      </c>
      <c r="D10" s="58">
        <v>74</v>
      </c>
      <c r="E10" s="58">
        <v>60</v>
      </c>
      <c r="F10" s="58">
        <v>0</v>
      </c>
      <c r="G10" s="58">
        <v>0</v>
      </c>
      <c r="H10" s="58">
        <v>0</v>
      </c>
      <c r="I10" s="58">
        <v>0</v>
      </c>
      <c r="J10" s="58">
        <v>7</v>
      </c>
      <c r="K10" s="58">
        <v>5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2</v>
      </c>
      <c r="S10" s="58">
        <v>0</v>
      </c>
      <c r="T10" s="71" t="s">
        <v>149</v>
      </c>
    </row>
    <row r="11" spans="1:20" ht="12.75">
      <c r="A11" s="58">
        <v>16</v>
      </c>
      <c r="B11" s="58" t="s">
        <v>129</v>
      </c>
      <c r="C11" s="58">
        <v>1</v>
      </c>
      <c r="D11" s="58">
        <v>61</v>
      </c>
      <c r="E11" s="58">
        <v>48</v>
      </c>
      <c r="F11" s="58">
        <v>9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4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71" t="s">
        <v>150</v>
      </c>
    </row>
    <row r="12" spans="1:20" ht="12.75">
      <c r="A12" s="58">
        <v>9</v>
      </c>
      <c r="B12" s="58" t="s">
        <v>123</v>
      </c>
      <c r="C12" s="58">
        <v>1</v>
      </c>
      <c r="D12" s="58">
        <v>107</v>
      </c>
      <c r="E12" s="58">
        <v>72</v>
      </c>
      <c r="F12" s="58">
        <v>0</v>
      </c>
      <c r="G12" s="58">
        <v>15</v>
      </c>
      <c r="H12" s="58">
        <v>0</v>
      </c>
      <c r="I12" s="58">
        <v>9</v>
      </c>
      <c r="J12" s="58">
        <v>7</v>
      </c>
      <c r="K12" s="58">
        <v>0</v>
      </c>
      <c r="L12" s="58">
        <v>4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71" t="s">
        <v>151</v>
      </c>
    </row>
    <row r="13" spans="1:20" ht="12.75">
      <c r="A13" s="58">
        <v>22</v>
      </c>
      <c r="B13" s="58" t="s">
        <v>135</v>
      </c>
      <c r="C13" s="58">
        <v>1</v>
      </c>
      <c r="D13" s="58">
        <v>86</v>
      </c>
      <c r="E13" s="58">
        <v>66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8</v>
      </c>
      <c r="M13" s="58">
        <v>12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71" t="s">
        <v>152</v>
      </c>
    </row>
    <row r="14" spans="1:20" ht="12.75">
      <c r="A14" s="58">
        <v>18</v>
      </c>
      <c r="B14" s="58" t="s">
        <v>131</v>
      </c>
      <c r="C14" s="58">
        <v>1</v>
      </c>
      <c r="D14" s="58">
        <v>93</v>
      </c>
      <c r="E14" s="58">
        <v>60</v>
      </c>
      <c r="F14" s="58">
        <v>0</v>
      </c>
      <c r="G14" s="58">
        <v>0</v>
      </c>
      <c r="H14" s="58">
        <v>0</v>
      </c>
      <c r="I14" s="58">
        <v>6</v>
      </c>
      <c r="J14" s="58">
        <v>7</v>
      </c>
      <c r="K14" s="58">
        <v>0</v>
      </c>
      <c r="L14" s="58">
        <v>8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12</v>
      </c>
      <c r="S14" s="58">
        <v>0</v>
      </c>
      <c r="T14" s="71" t="s">
        <v>153</v>
      </c>
    </row>
    <row r="15" spans="1:20" ht="12.75">
      <c r="A15" s="58">
        <v>11</v>
      </c>
      <c r="B15" s="58" t="s">
        <v>125</v>
      </c>
      <c r="C15" s="58">
        <v>1</v>
      </c>
      <c r="D15" s="58">
        <v>87</v>
      </c>
      <c r="E15" s="58">
        <v>72</v>
      </c>
      <c r="F15" s="58">
        <v>0</v>
      </c>
      <c r="G15" s="58">
        <v>0</v>
      </c>
      <c r="H15" s="58">
        <v>0</v>
      </c>
      <c r="I15" s="58">
        <v>6</v>
      </c>
      <c r="J15" s="58">
        <v>0</v>
      </c>
      <c r="K15" s="58">
        <v>5</v>
      </c>
      <c r="L15" s="58">
        <v>4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71" t="s">
        <v>154</v>
      </c>
    </row>
    <row r="16" spans="1:20" ht="12.75">
      <c r="A16" s="58">
        <v>15</v>
      </c>
      <c r="B16" s="58" t="s">
        <v>128</v>
      </c>
      <c r="C16" s="58">
        <v>1</v>
      </c>
      <c r="D16" s="58">
        <v>54</v>
      </c>
      <c r="E16" s="58">
        <v>54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71" t="s">
        <v>155</v>
      </c>
    </row>
    <row r="17" spans="1:20" ht="12.75">
      <c r="A17" s="58">
        <v>12</v>
      </c>
      <c r="B17" s="58" t="s">
        <v>126</v>
      </c>
      <c r="C17" s="58">
        <v>1</v>
      </c>
      <c r="D17" s="58">
        <v>109</v>
      </c>
      <c r="E17" s="58">
        <v>66</v>
      </c>
      <c r="F17" s="58">
        <v>0</v>
      </c>
      <c r="G17" s="58">
        <v>0</v>
      </c>
      <c r="H17" s="58">
        <v>7</v>
      </c>
      <c r="I17" s="58">
        <v>0</v>
      </c>
      <c r="J17" s="58">
        <v>12</v>
      </c>
      <c r="K17" s="58">
        <v>0</v>
      </c>
      <c r="L17" s="58">
        <v>4</v>
      </c>
      <c r="M17" s="58">
        <v>20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 t="s">
        <v>156</v>
      </c>
    </row>
    <row r="18" spans="1:20" ht="12.75">
      <c r="A18" s="58">
        <v>2</v>
      </c>
      <c r="B18" s="58" t="s">
        <v>118</v>
      </c>
      <c r="C18" s="58">
        <v>1</v>
      </c>
      <c r="D18" s="58">
        <v>70</v>
      </c>
      <c r="E18" s="58">
        <v>66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4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 t="s">
        <v>157</v>
      </c>
    </row>
    <row r="19" spans="1:20" ht="12.75">
      <c r="A19" s="58">
        <v>20</v>
      </c>
      <c r="B19" s="58" t="s">
        <v>133</v>
      </c>
      <c r="C19" s="58">
        <v>1</v>
      </c>
      <c r="D19" s="58">
        <v>83</v>
      </c>
      <c r="E19" s="58">
        <v>72</v>
      </c>
      <c r="F19" s="58">
        <v>0</v>
      </c>
      <c r="G19" s="58">
        <v>0</v>
      </c>
      <c r="H19" s="58">
        <v>0</v>
      </c>
      <c r="I19" s="58">
        <v>0</v>
      </c>
      <c r="J19" s="58">
        <v>7</v>
      </c>
      <c r="K19" s="58">
        <v>0</v>
      </c>
      <c r="L19" s="58">
        <v>4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 t="s">
        <v>158</v>
      </c>
    </row>
    <row r="20" spans="1:20" ht="12.75">
      <c r="A20" s="58">
        <v>6</v>
      </c>
      <c r="B20" s="58" t="s">
        <v>141</v>
      </c>
      <c r="C20" s="58">
        <v>1</v>
      </c>
      <c r="D20" s="58">
        <v>93</v>
      </c>
      <c r="E20" s="58">
        <v>54</v>
      </c>
      <c r="F20" s="58">
        <v>0</v>
      </c>
      <c r="G20" s="58">
        <v>15</v>
      </c>
      <c r="H20" s="58">
        <v>0</v>
      </c>
      <c r="I20" s="58">
        <v>0</v>
      </c>
      <c r="J20" s="58">
        <v>7</v>
      </c>
      <c r="K20" s="58">
        <v>0</v>
      </c>
      <c r="L20" s="58">
        <v>8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9</v>
      </c>
      <c r="T20" s="58" t="s">
        <v>159</v>
      </c>
    </row>
    <row r="21" spans="1:20" ht="12.75">
      <c r="A21" s="58">
        <v>7</v>
      </c>
      <c r="B21" s="58" t="s">
        <v>121</v>
      </c>
      <c r="C21" s="58">
        <v>1</v>
      </c>
      <c r="D21" s="58">
        <v>82</v>
      </c>
      <c r="E21" s="58">
        <v>72</v>
      </c>
      <c r="F21" s="58">
        <v>0</v>
      </c>
      <c r="G21" s="58">
        <v>0</v>
      </c>
      <c r="H21" s="58">
        <v>0</v>
      </c>
      <c r="I21" s="58">
        <v>6</v>
      </c>
      <c r="J21" s="58">
        <v>0</v>
      </c>
      <c r="K21" s="58">
        <v>0</v>
      </c>
      <c r="L21" s="58">
        <v>4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 t="s">
        <v>160</v>
      </c>
    </row>
    <row r="22" spans="1:20" ht="12.75">
      <c r="A22" s="58">
        <v>25</v>
      </c>
      <c r="B22" s="58" t="s">
        <v>138</v>
      </c>
      <c r="C22" s="58">
        <v>1</v>
      </c>
      <c r="D22" s="58">
        <v>79</v>
      </c>
      <c r="E22" s="58">
        <v>66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5</v>
      </c>
      <c r="L22" s="58">
        <v>8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 t="s">
        <v>161</v>
      </c>
    </row>
    <row r="23" spans="1:20" ht="12.75">
      <c r="A23" s="58">
        <v>1</v>
      </c>
      <c r="B23" s="58" t="s">
        <v>117</v>
      </c>
      <c r="C23" s="58">
        <v>1</v>
      </c>
      <c r="D23" s="58">
        <v>103</v>
      </c>
      <c r="E23" s="58">
        <v>66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9</v>
      </c>
      <c r="L23" s="58">
        <v>8</v>
      </c>
      <c r="M23" s="58">
        <v>20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 t="s">
        <v>163</v>
      </c>
    </row>
    <row r="24" spans="1:20" ht="12.75">
      <c r="A24" s="58">
        <v>23</v>
      </c>
      <c r="B24" s="58" t="s">
        <v>136</v>
      </c>
      <c r="C24" s="58">
        <v>1</v>
      </c>
      <c r="D24" s="58">
        <v>57</v>
      </c>
      <c r="E24" s="58">
        <v>48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5</v>
      </c>
      <c r="L24" s="58">
        <v>4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 t="s">
        <v>164</v>
      </c>
    </row>
    <row r="25" spans="1:20" ht="12.75">
      <c r="A25" s="58">
        <v>24</v>
      </c>
      <c r="B25" s="58" t="s">
        <v>137</v>
      </c>
      <c r="C25" s="58">
        <v>1</v>
      </c>
      <c r="D25" s="58">
        <v>154</v>
      </c>
      <c r="E25" s="58">
        <v>66</v>
      </c>
      <c r="F25" s="58">
        <v>0</v>
      </c>
      <c r="G25" s="58">
        <v>30</v>
      </c>
      <c r="H25" s="58">
        <v>0</v>
      </c>
      <c r="I25" s="58">
        <v>0</v>
      </c>
      <c r="J25" s="58">
        <v>21</v>
      </c>
      <c r="K25" s="58">
        <v>5</v>
      </c>
      <c r="L25" s="58">
        <v>8</v>
      </c>
      <c r="M25" s="58">
        <v>12</v>
      </c>
      <c r="N25" s="58">
        <v>0</v>
      </c>
      <c r="O25" s="58">
        <v>0</v>
      </c>
      <c r="P25" s="58">
        <v>0</v>
      </c>
      <c r="Q25" s="58">
        <v>0</v>
      </c>
      <c r="R25" s="58">
        <v>12</v>
      </c>
      <c r="S25" s="58">
        <v>0</v>
      </c>
      <c r="T25" s="58" t="s">
        <v>165</v>
      </c>
    </row>
    <row r="26" spans="1:20" ht="12.75">
      <c r="A26" s="58">
        <v>21</v>
      </c>
      <c r="B26" s="58" t="s">
        <v>134</v>
      </c>
      <c r="C26" s="58">
        <v>1</v>
      </c>
      <c r="D26" s="58">
        <v>75</v>
      </c>
      <c r="E26" s="58">
        <v>48</v>
      </c>
      <c r="F26" s="58">
        <v>0</v>
      </c>
      <c r="G26" s="58">
        <v>0</v>
      </c>
      <c r="H26" s="58">
        <v>0</v>
      </c>
      <c r="I26" s="58">
        <v>0</v>
      </c>
      <c r="J26" s="58">
        <v>14</v>
      </c>
      <c r="K26" s="58">
        <v>5</v>
      </c>
      <c r="L26" s="58">
        <v>8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 t="s">
        <v>166</v>
      </c>
    </row>
    <row r="27" spans="1:20" ht="12.75">
      <c r="A27" s="58">
        <v>8</v>
      </c>
      <c r="B27" s="58" t="s">
        <v>122</v>
      </c>
      <c r="C27" s="58">
        <v>1</v>
      </c>
      <c r="D27" s="58">
        <v>82</v>
      </c>
      <c r="E27" s="58">
        <v>66</v>
      </c>
      <c r="F27" s="58">
        <v>0</v>
      </c>
      <c r="G27" s="58">
        <v>0</v>
      </c>
      <c r="H27" s="58">
        <v>0</v>
      </c>
      <c r="I27" s="58">
        <v>0</v>
      </c>
      <c r="J27" s="58">
        <v>7</v>
      </c>
      <c r="K27" s="58">
        <v>5</v>
      </c>
      <c r="L27" s="58">
        <v>4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 t="s">
        <v>142</v>
      </c>
    </row>
    <row r="28" spans="1:20" ht="12.75">
      <c r="A28" s="58">
        <v>26</v>
      </c>
      <c r="B28" s="58" t="s">
        <v>139</v>
      </c>
      <c r="C28" s="58">
        <v>2</v>
      </c>
      <c r="D28" s="58">
        <v>76</v>
      </c>
      <c r="E28" s="58">
        <v>60</v>
      </c>
      <c r="F28" s="58">
        <v>0</v>
      </c>
      <c r="G28" s="58">
        <v>0</v>
      </c>
      <c r="H28" s="58">
        <v>0</v>
      </c>
      <c r="I28" s="58">
        <v>3</v>
      </c>
      <c r="J28" s="58">
        <v>0</v>
      </c>
      <c r="K28" s="58">
        <v>5</v>
      </c>
      <c r="L28" s="58">
        <v>8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 t="s">
        <v>167</v>
      </c>
    </row>
    <row r="29" spans="1:20" ht="12.75">
      <c r="A29" s="58">
        <v>5</v>
      </c>
      <c r="B29" s="58" t="s">
        <v>120</v>
      </c>
      <c r="C29" s="58">
        <v>2</v>
      </c>
      <c r="D29" s="58">
        <v>87</v>
      </c>
      <c r="E29" s="58">
        <v>66</v>
      </c>
      <c r="F29" s="58">
        <v>0</v>
      </c>
      <c r="G29" s="58">
        <v>0</v>
      </c>
      <c r="H29" s="58">
        <v>0</v>
      </c>
      <c r="I29" s="58">
        <v>0</v>
      </c>
      <c r="J29" s="58">
        <v>7</v>
      </c>
      <c r="K29" s="58">
        <v>0</v>
      </c>
      <c r="L29" s="58">
        <v>4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10</v>
      </c>
      <c r="S29" s="58">
        <v>0</v>
      </c>
      <c r="T29" s="58" t="s">
        <v>168</v>
      </c>
    </row>
    <row r="30" spans="1:20" ht="12.75">
      <c r="A30" s="58">
        <v>16</v>
      </c>
      <c r="B30" s="58" t="s">
        <v>129</v>
      </c>
      <c r="C30" s="58">
        <v>2</v>
      </c>
      <c r="D30" s="58">
        <v>101</v>
      </c>
      <c r="E30" s="58">
        <v>72</v>
      </c>
      <c r="F30" s="58">
        <v>9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20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 t="s">
        <v>169</v>
      </c>
    </row>
    <row r="31" spans="1:20" ht="12.75">
      <c r="A31" s="58">
        <v>10</v>
      </c>
      <c r="B31" s="58" t="s">
        <v>124</v>
      </c>
      <c r="C31" s="58">
        <v>2</v>
      </c>
      <c r="D31" s="58">
        <v>114</v>
      </c>
      <c r="E31" s="58">
        <v>66</v>
      </c>
      <c r="F31" s="58">
        <v>9</v>
      </c>
      <c r="G31" s="58">
        <v>0</v>
      </c>
      <c r="H31" s="58">
        <v>7</v>
      </c>
      <c r="I31" s="58">
        <v>0</v>
      </c>
      <c r="J31" s="58">
        <v>24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8</v>
      </c>
      <c r="S31" s="58">
        <v>0</v>
      </c>
      <c r="T31" s="58" t="s">
        <v>170</v>
      </c>
    </row>
    <row r="32" spans="1:20" ht="12.75">
      <c r="A32" s="58">
        <v>17</v>
      </c>
      <c r="B32" s="58" t="s">
        <v>130</v>
      </c>
      <c r="C32" s="58">
        <v>2</v>
      </c>
      <c r="D32" s="58">
        <v>124</v>
      </c>
      <c r="E32" s="58">
        <v>60</v>
      </c>
      <c r="F32" s="58">
        <v>0</v>
      </c>
      <c r="G32" s="58">
        <v>0</v>
      </c>
      <c r="H32" s="58">
        <v>14</v>
      </c>
      <c r="I32" s="58">
        <v>0</v>
      </c>
      <c r="J32" s="58">
        <v>28</v>
      </c>
      <c r="K32" s="58">
        <v>5</v>
      </c>
      <c r="L32" s="58">
        <v>8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9</v>
      </c>
      <c r="T32" s="58" t="s">
        <v>171</v>
      </c>
    </row>
    <row r="33" spans="1:20" ht="12.75">
      <c r="A33" s="58">
        <v>14</v>
      </c>
      <c r="B33" s="58" t="s">
        <v>127</v>
      </c>
      <c r="C33" s="58">
        <v>2</v>
      </c>
      <c r="D33" s="58">
        <v>72</v>
      </c>
      <c r="E33" s="58">
        <v>54</v>
      </c>
      <c r="F33" s="58">
        <v>0</v>
      </c>
      <c r="G33" s="58">
        <v>0</v>
      </c>
      <c r="H33" s="58">
        <v>0</v>
      </c>
      <c r="I33" s="58">
        <v>0</v>
      </c>
      <c r="J33" s="58">
        <v>14</v>
      </c>
      <c r="K33" s="58">
        <v>0</v>
      </c>
      <c r="L33" s="58">
        <v>4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 t="s">
        <v>172</v>
      </c>
    </row>
    <row r="34" spans="1:20" ht="12.75">
      <c r="A34" s="58">
        <v>19</v>
      </c>
      <c r="B34" s="58" t="s">
        <v>132</v>
      </c>
      <c r="C34" s="58">
        <v>2</v>
      </c>
      <c r="D34" s="58">
        <v>90</v>
      </c>
      <c r="E34" s="58">
        <v>72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9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9</v>
      </c>
      <c r="T34" s="58" t="s">
        <v>162</v>
      </c>
    </row>
    <row r="35" spans="1:20" ht="12.75">
      <c r="A35" s="58">
        <v>7</v>
      </c>
      <c r="B35" s="58" t="s">
        <v>121</v>
      </c>
      <c r="C35" s="58">
        <v>2</v>
      </c>
      <c r="D35" s="58">
        <v>132</v>
      </c>
      <c r="E35" s="58">
        <v>72</v>
      </c>
      <c r="F35" s="58">
        <v>9</v>
      </c>
      <c r="G35" s="58">
        <v>0</v>
      </c>
      <c r="H35" s="58">
        <v>0</v>
      </c>
      <c r="I35" s="58">
        <v>9</v>
      </c>
      <c r="J35" s="58">
        <v>12</v>
      </c>
      <c r="K35" s="58">
        <v>0</v>
      </c>
      <c r="L35" s="58">
        <v>4</v>
      </c>
      <c r="M35" s="58">
        <v>20</v>
      </c>
      <c r="N35" s="58">
        <v>0</v>
      </c>
      <c r="O35" s="58">
        <v>0</v>
      </c>
      <c r="P35" s="58">
        <v>0</v>
      </c>
      <c r="Q35" s="58">
        <v>0</v>
      </c>
      <c r="R35" s="58">
        <v>6</v>
      </c>
      <c r="S35" s="58">
        <v>0</v>
      </c>
      <c r="T35" s="58" t="s">
        <v>173</v>
      </c>
    </row>
    <row r="36" spans="1:20" ht="12.75">
      <c r="A36" s="58">
        <v>3</v>
      </c>
      <c r="B36" s="58" t="s">
        <v>119</v>
      </c>
      <c r="C36" s="58">
        <v>2</v>
      </c>
      <c r="D36" s="58">
        <v>185</v>
      </c>
      <c r="E36" s="58">
        <v>72</v>
      </c>
      <c r="F36" s="58">
        <v>9</v>
      </c>
      <c r="G36" s="58">
        <v>30</v>
      </c>
      <c r="H36" s="58">
        <v>0</v>
      </c>
      <c r="I36" s="58">
        <v>9</v>
      </c>
      <c r="J36" s="58">
        <v>12</v>
      </c>
      <c r="K36" s="58">
        <v>9</v>
      </c>
      <c r="L36" s="58">
        <v>8</v>
      </c>
      <c r="M36" s="58">
        <v>0</v>
      </c>
      <c r="N36" s="58">
        <v>0</v>
      </c>
      <c r="O36" s="58">
        <v>0</v>
      </c>
      <c r="P36" s="58">
        <v>0</v>
      </c>
      <c r="Q36" s="58">
        <v>14</v>
      </c>
      <c r="R36" s="58">
        <v>22</v>
      </c>
      <c r="S36" s="58">
        <v>0</v>
      </c>
      <c r="T36" s="58" t="s">
        <v>174</v>
      </c>
    </row>
    <row r="37" spans="1:20" ht="12.75">
      <c r="A37" s="58">
        <v>11</v>
      </c>
      <c r="B37" s="58" t="s">
        <v>125</v>
      </c>
      <c r="C37" s="58">
        <v>2</v>
      </c>
      <c r="D37" s="58">
        <v>82</v>
      </c>
      <c r="E37" s="58">
        <v>72</v>
      </c>
      <c r="F37" s="58">
        <v>0</v>
      </c>
      <c r="G37" s="58">
        <v>0</v>
      </c>
      <c r="H37" s="58">
        <v>0</v>
      </c>
      <c r="I37" s="58">
        <v>6</v>
      </c>
      <c r="J37" s="58">
        <v>0</v>
      </c>
      <c r="K37" s="58">
        <v>0</v>
      </c>
      <c r="L37" s="58">
        <v>4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 t="s">
        <v>175</v>
      </c>
    </row>
    <row r="38" spans="1:20" ht="12.75">
      <c r="A38" s="58">
        <v>27</v>
      </c>
      <c r="B38" s="58" t="s">
        <v>140</v>
      </c>
      <c r="C38" s="58">
        <v>1</v>
      </c>
      <c r="D38" s="58">
        <v>58</v>
      </c>
      <c r="E38" s="58">
        <v>54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4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 t="s">
        <v>176</v>
      </c>
    </row>
    <row r="39" spans="1:20" ht="12.75">
      <c r="A39" s="58">
        <v>15</v>
      </c>
      <c r="B39" s="58" t="s">
        <v>128</v>
      </c>
      <c r="C39" s="58">
        <v>2</v>
      </c>
      <c r="D39" s="58">
        <v>74</v>
      </c>
      <c r="E39" s="58">
        <v>54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20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 t="s">
        <v>177</v>
      </c>
    </row>
    <row r="40" spans="1:20" ht="12.75">
      <c r="A40" s="58">
        <v>22</v>
      </c>
      <c r="B40" s="58" t="s">
        <v>135</v>
      </c>
      <c r="C40" s="58">
        <v>2</v>
      </c>
      <c r="D40" s="58">
        <v>86</v>
      </c>
      <c r="E40" s="58">
        <v>66</v>
      </c>
      <c r="F40" s="58">
        <v>0</v>
      </c>
      <c r="G40" s="58">
        <v>0</v>
      </c>
      <c r="H40" s="58">
        <v>0</v>
      </c>
      <c r="I40" s="58">
        <v>0</v>
      </c>
      <c r="J40" s="58">
        <v>7</v>
      </c>
      <c r="K40" s="58">
        <v>9</v>
      </c>
      <c r="L40" s="58">
        <v>4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 t="s">
        <v>178</v>
      </c>
    </row>
    <row r="41" spans="1:20" ht="12.75">
      <c r="A41" s="58">
        <v>9</v>
      </c>
      <c r="B41" s="58" t="s">
        <v>123</v>
      </c>
      <c r="C41" s="58">
        <v>2</v>
      </c>
      <c r="D41" s="58">
        <v>81</v>
      </c>
      <c r="E41" s="58">
        <v>66</v>
      </c>
      <c r="F41" s="58">
        <v>0</v>
      </c>
      <c r="G41" s="58">
        <v>0</v>
      </c>
      <c r="H41" s="58">
        <v>0</v>
      </c>
      <c r="I41" s="58">
        <v>0</v>
      </c>
      <c r="J41" s="58">
        <v>7</v>
      </c>
      <c r="K41" s="58">
        <v>0</v>
      </c>
      <c r="L41" s="58">
        <v>8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 t="s">
        <v>179</v>
      </c>
    </row>
    <row r="42" spans="1:20" ht="12.75">
      <c r="A42" s="58">
        <v>12</v>
      </c>
      <c r="B42" s="58" t="s">
        <v>126</v>
      </c>
      <c r="C42" s="58">
        <v>2</v>
      </c>
      <c r="D42" s="58">
        <v>78</v>
      </c>
      <c r="E42" s="58">
        <v>66</v>
      </c>
      <c r="F42" s="58">
        <v>0</v>
      </c>
      <c r="G42" s="58">
        <v>0</v>
      </c>
      <c r="H42" s="58">
        <v>0</v>
      </c>
      <c r="I42" s="58">
        <v>0</v>
      </c>
      <c r="J42" s="58">
        <v>7</v>
      </c>
      <c r="K42" s="58">
        <v>5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 t="s">
        <v>180</v>
      </c>
    </row>
    <row r="43" spans="1:20" ht="12.75">
      <c r="A43" s="58">
        <v>6</v>
      </c>
      <c r="B43" s="58" t="s">
        <v>141</v>
      </c>
      <c r="C43" s="58">
        <v>2</v>
      </c>
      <c r="D43" s="58">
        <v>64</v>
      </c>
      <c r="E43" s="58">
        <v>54</v>
      </c>
      <c r="F43" s="58">
        <v>0</v>
      </c>
      <c r="G43" s="58">
        <v>0</v>
      </c>
      <c r="H43" s="58">
        <v>0</v>
      </c>
      <c r="I43" s="58">
        <v>3</v>
      </c>
      <c r="J43" s="58">
        <v>7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 t="s">
        <v>181</v>
      </c>
    </row>
    <row r="44" spans="1:20" ht="12.75">
      <c r="A44" s="58">
        <v>2</v>
      </c>
      <c r="B44" s="58" t="s">
        <v>118</v>
      </c>
      <c r="C44" s="58">
        <v>2</v>
      </c>
      <c r="D44" s="58">
        <v>85</v>
      </c>
      <c r="E44" s="58">
        <v>66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10</v>
      </c>
      <c r="S44" s="58">
        <v>9</v>
      </c>
      <c r="T44" s="58" t="s">
        <v>182</v>
      </c>
    </row>
    <row r="45" spans="1:20" ht="12.75">
      <c r="A45" s="58">
        <v>20</v>
      </c>
      <c r="B45" s="58" t="s">
        <v>133</v>
      </c>
      <c r="C45" s="58">
        <v>2</v>
      </c>
      <c r="D45" s="58">
        <v>100</v>
      </c>
      <c r="E45" s="58">
        <v>72</v>
      </c>
      <c r="F45" s="58">
        <v>0</v>
      </c>
      <c r="G45" s="58">
        <v>0</v>
      </c>
      <c r="H45" s="58">
        <v>0</v>
      </c>
      <c r="I45" s="58">
        <v>0</v>
      </c>
      <c r="J45" s="58">
        <v>12</v>
      </c>
      <c r="K45" s="58">
        <v>0</v>
      </c>
      <c r="L45" s="58">
        <v>4</v>
      </c>
      <c r="M45" s="58">
        <v>12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 t="s">
        <v>183</v>
      </c>
    </row>
    <row r="46" spans="1:20" ht="12.75">
      <c r="A46" s="58">
        <v>25</v>
      </c>
      <c r="B46" s="58" t="s">
        <v>138</v>
      </c>
      <c r="C46" s="58">
        <v>2</v>
      </c>
      <c r="D46" s="58">
        <v>111</v>
      </c>
      <c r="E46" s="58">
        <v>66</v>
      </c>
      <c r="F46" s="58">
        <v>0</v>
      </c>
      <c r="G46" s="58">
        <v>0</v>
      </c>
      <c r="H46" s="58">
        <v>0</v>
      </c>
      <c r="I46" s="58">
        <v>3</v>
      </c>
      <c r="J46" s="58">
        <v>14</v>
      </c>
      <c r="K46" s="58">
        <v>0</v>
      </c>
      <c r="L46" s="58">
        <v>8</v>
      </c>
      <c r="M46" s="58">
        <v>20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 t="s">
        <v>184</v>
      </c>
    </row>
    <row r="47" spans="1:20" ht="12.75">
      <c r="A47" s="58">
        <v>23</v>
      </c>
      <c r="B47" s="58" t="s">
        <v>136</v>
      </c>
      <c r="C47" s="58">
        <v>2</v>
      </c>
      <c r="D47" s="58">
        <v>69</v>
      </c>
      <c r="E47" s="58">
        <v>60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5</v>
      </c>
      <c r="L47" s="58">
        <v>4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 t="s">
        <v>185</v>
      </c>
    </row>
    <row r="48" spans="1:20" ht="12.75">
      <c r="A48" s="58">
        <v>8</v>
      </c>
      <c r="B48" s="58" t="s">
        <v>122</v>
      </c>
      <c r="C48" s="58">
        <v>2</v>
      </c>
      <c r="D48" s="58">
        <v>97</v>
      </c>
      <c r="E48" s="58">
        <v>72</v>
      </c>
      <c r="F48" s="58">
        <v>9</v>
      </c>
      <c r="G48" s="58">
        <v>0</v>
      </c>
      <c r="H48" s="58">
        <v>0</v>
      </c>
      <c r="I48" s="58">
        <v>0</v>
      </c>
      <c r="J48" s="58">
        <v>12</v>
      </c>
      <c r="K48" s="58">
        <v>0</v>
      </c>
      <c r="L48" s="58">
        <v>4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 t="s">
        <v>186</v>
      </c>
    </row>
    <row r="49" spans="1:20" ht="12.75">
      <c r="A49" s="58">
        <v>24</v>
      </c>
      <c r="B49" s="58" t="s">
        <v>137</v>
      </c>
      <c r="C49" s="58">
        <v>2</v>
      </c>
      <c r="D49" s="58">
        <v>147</v>
      </c>
      <c r="E49" s="58">
        <v>66</v>
      </c>
      <c r="F49" s="58">
        <v>9</v>
      </c>
      <c r="G49" s="58">
        <v>0</v>
      </c>
      <c r="H49" s="58">
        <v>7</v>
      </c>
      <c r="I49" s="58">
        <v>0</v>
      </c>
      <c r="J49" s="58">
        <v>21</v>
      </c>
      <c r="K49" s="58">
        <v>0</v>
      </c>
      <c r="L49" s="58">
        <v>4</v>
      </c>
      <c r="M49" s="58">
        <v>0</v>
      </c>
      <c r="N49" s="58">
        <v>0</v>
      </c>
      <c r="O49" s="58">
        <v>0</v>
      </c>
      <c r="P49" s="58">
        <v>20</v>
      </c>
      <c r="Q49" s="58">
        <v>0</v>
      </c>
      <c r="R49" s="58">
        <v>20</v>
      </c>
      <c r="S49" s="58">
        <v>0</v>
      </c>
      <c r="T49" s="58" t="s">
        <v>187</v>
      </c>
    </row>
    <row r="50" spans="1:20" ht="12.75">
      <c r="A50" s="58">
        <v>18</v>
      </c>
      <c r="B50" s="58" t="s">
        <v>131</v>
      </c>
      <c r="C50" s="58">
        <v>2</v>
      </c>
      <c r="D50" s="58">
        <v>87</v>
      </c>
      <c r="E50" s="58">
        <v>66</v>
      </c>
      <c r="F50" s="58">
        <v>0</v>
      </c>
      <c r="G50" s="58">
        <v>0</v>
      </c>
      <c r="H50" s="58">
        <v>0</v>
      </c>
      <c r="I50" s="58">
        <v>0</v>
      </c>
      <c r="J50" s="58">
        <v>7</v>
      </c>
      <c r="K50" s="58">
        <v>0</v>
      </c>
      <c r="L50" s="58">
        <v>4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10</v>
      </c>
      <c r="S50" s="58">
        <v>0</v>
      </c>
      <c r="T50" s="58" t="s">
        <v>188</v>
      </c>
    </row>
    <row r="51" spans="1:20" ht="12.75">
      <c r="A51" s="58">
        <v>21</v>
      </c>
      <c r="B51" s="58" t="s">
        <v>134</v>
      </c>
      <c r="C51" s="58">
        <v>2</v>
      </c>
      <c r="D51" s="58">
        <v>96</v>
      </c>
      <c r="E51" s="58">
        <v>72</v>
      </c>
      <c r="F51" s="58">
        <v>0</v>
      </c>
      <c r="G51" s="58">
        <v>15</v>
      </c>
      <c r="H51" s="58">
        <v>0</v>
      </c>
      <c r="I51" s="58">
        <v>0</v>
      </c>
      <c r="J51" s="58">
        <v>0</v>
      </c>
      <c r="K51" s="58">
        <v>5</v>
      </c>
      <c r="L51" s="58">
        <v>4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 t="s">
        <v>189</v>
      </c>
    </row>
    <row r="52" spans="1:20" ht="12.75">
      <c r="A52" s="58">
        <v>16</v>
      </c>
      <c r="B52" s="58" t="s">
        <v>129</v>
      </c>
      <c r="C52" s="58">
        <v>3</v>
      </c>
      <c r="D52" s="58">
        <v>73</v>
      </c>
      <c r="E52" s="58">
        <v>66</v>
      </c>
      <c r="F52" s="58">
        <v>0</v>
      </c>
      <c r="G52" s="58">
        <v>0</v>
      </c>
      <c r="H52" s="58">
        <v>0</v>
      </c>
      <c r="I52" s="58">
        <v>3</v>
      </c>
      <c r="J52" s="58">
        <v>0</v>
      </c>
      <c r="K52" s="58">
        <v>0</v>
      </c>
      <c r="L52" s="58">
        <v>4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 t="s">
        <v>190</v>
      </c>
    </row>
    <row r="53" spans="1:20" ht="12.75">
      <c r="A53" s="58">
        <v>5</v>
      </c>
      <c r="B53" s="58" t="s">
        <v>120</v>
      </c>
      <c r="C53" s="58">
        <v>3</v>
      </c>
      <c r="D53" s="58">
        <v>126</v>
      </c>
      <c r="E53" s="58">
        <v>72</v>
      </c>
      <c r="F53" s="58">
        <v>9</v>
      </c>
      <c r="G53" s="58">
        <v>0</v>
      </c>
      <c r="H53" s="58">
        <v>0</v>
      </c>
      <c r="I53" s="58">
        <v>0</v>
      </c>
      <c r="J53" s="58">
        <v>12</v>
      </c>
      <c r="K53" s="58">
        <v>5</v>
      </c>
      <c r="L53" s="58">
        <v>8</v>
      </c>
      <c r="M53" s="58">
        <v>20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 t="s">
        <v>191</v>
      </c>
    </row>
    <row r="54" spans="1:20" ht="12.75">
      <c r="A54" s="58">
        <v>26</v>
      </c>
      <c r="B54" s="58" t="s">
        <v>139</v>
      </c>
      <c r="C54" s="58">
        <v>3</v>
      </c>
      <c r="D54" s="58">
        <v>76</v>
      </c>
      <c r="E54" s="58">
        <v>60</v>
      </c>
      <c r="F54" s="58">
        <v>0</v>
      </c>
      <c r="G54" s="58">
        <v>0</v>
      </c>
      <c r="H54" s="58">
        <v>0</v>
      </c>
      <c r="I54" s="58">
        <v>3</v>
      </c>
      <c r="J54" s="58">
        <v>0</v>
      </c>
      <c r="K54" s="58">
        <v>0</v>
      </c>
      <c r="L54" s="58">
        <v>4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9</v>
      </c>
      <c r="T54" s="58" t="s">
        <v>192</v>
      </c>
    </row>
    <row r="55" spans="1:20" ht="12.75">
      <c r="A55" s="58">
        <v>10</v>
      </c>
      <c r="B55" s="58" t="s">
        <v>124</v>
      </c>
      <c r="C55" s="58">
        <v>3</v>
      </c>
      <c r="D55" s="58">
        <v>120</v>
      </c>
      <c r="E55" s="58">
        <v>66</v>
      </c>
      <c r="F55" s="58">
        <v>9</v>
      </c>
      <c r="G55" s="58">
        <v>15</v>
      </c>
      <c r="H55" s="58">
        <v>0</v>
      </c>
      <c r="I55" s="58">
        <v>9</v>
      </c>
      <c r="J55" s="58">
        <v>7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14</v>
      </c>
      <c r="S55" s="58">
        <v>0</v>
      </c>
      <c r="T55" s="58" t="s">
        <v>193</v>
      </c>
    </row>
    <row r="56" spans="1:20" ht="12.75">
      <c r="A56" s="58">
        <v>14</v>
      </c>
      <c r="B56" s="58" t="s">
        <v>127</v>
      </c>
      <c r="C56" s="58">
        <v>3</v>
      </c>
      <c r="D56" s="58">
        <v>138</v>
      </c>
      <c r="E56" s="58">
        <v>72</v>
      </c>
      <c r="F56" s="58">
        <v>0</v>
      </c>
      <c r="G56" s="58">
        <v>0</v>
      </c>
      <c r="H56" s="58">
        <v>0</v>
      </c>
      <c r="I56" s="58">
        <v>0</v>
      </c>
      <c r="J56" s="58">
        <v>48</v>
      </c>
      <c r="K56" s="58">
        <v>5</v>
      </c>
      <c r="L56" s="58">
        <v>4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9</v>
      </c>
      <c r="T56" s="58" t="s">
        <v>194</v>
      </c>
    </row>
    <row r="57" spans="1:20" ht="12.75">
      <c r="A57" s="58">
        <v>19</v>
      </c>
      <c r="B57" s="58" t="s">
        <v>132</v>
      </c>
      <c r="C57" s="58">
        <v>3</v>
      </c>
      <c r="D57" s="58">
        <v>93</v>
      </c>
      <c r="E57" s="58">
        <v>72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9</v>
      </c>
      <c r="L57" s="58">
        <v>0</v>
      </c>
      <c r="M57" s="58">
        <v>12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 t="s">
        <v>195</v>
      </c>
    </row>
    <row r="58" spans="1:20" ht="12.75">
      <c r="A58" s="58">
        <v>1</v>
      </c>
      <c r="B58" s="58" t="s">
        <v>117</v>
      </c>
      <c r="C58" s="58">
        <v>2</v>
      </c>
      <c r="D58" s="58">
        <v>79</v>
      </c>
      <c r="E58" s="58">
        <v>66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5</v>
      </c>
      <c r="L58" s="58">
        <v>8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 t="s">
        <v>196</v>
      </c>
    </row>
    <row r="59" spans="1:20" ht="12.75">
      <c r="A59" s="58">
        <v>27</v>
      </c>
      <c r="B59" s="58" t="s">
        <v>140</v>
      </c>
      <c r="C59" s="58">
        <v>2</v>
      </c>
      <c r="D59" s="58">
        <v>77</v>
      </c>
      <c r="E59" s="58">
        <v>66</v>
      </c>
      <c r="F59" s="58">
        <v>0</v>
      </c>
      <c r="G59" s="58">
        <v>0</v>
      </c>
      <c r="H59" s="58">
        <v>0</v>
      </c>
      <c r="I59" s="58">
        <v>0</v>
      </c>
      <c r="J59" s="58">
        <v>7</v>
      </c>
      <c r="K59" s="58">
        <v>0</v>
      </c>
      <c r="L59" s="58">
        <v>4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 t="s">
        <v>197</v>
      </c>
    </row>
    <row r="60" spans="1:20" ht="12.75">
      <c r="A60" s="58">
        <v>3</v>
      </c>
      <c r="B60" s="58" t="s">
        <v>119</v>
      </c>
      <c r="C60" s="58">
        <v>3</v>
      </c>
      <c r="D60" s="58">
        <v>175</v>
      </c>
      <c r="E60" s="58">
        <v>72</v>
      </c>
      <c r="F60" s="58">
        <v>9</v>
      </c>
      <c r="G60" s="58">
        <v>15</v>
      </c>
      <c r="H60" s="58">
        <v>0</v>
      </c>
      <c r="I60" s="58">
        <v>9</v>
      </c>
      <c r="J60" s="58">
        <v>7</v>
      </c>
      <c r="K60" s="58">
        <v>9</v>
      </c>
      <c r="L60" s="58">
        <v>8</v>
      </c>
      <c r="M60" s="58">
        <v>12</v>
      </c>
      <c r="N60" s="58">
        <v>0</v>
      </c>
      <c r="O60" s="58">
        <v>0</v>
      </c>
      <c r="P60" s="58">
        <v>0</v>
      </c>
      <c r="Q60" s="58">
        <v>14</v>
      </c>
      <c r="R60" s="58">
        <v>20</v>
      </c>
      <c r="S60" s="58">
        <v>0</v>
      </c>
      <c r="T60" s="58" t="s">
        <v>198</v>
      </c>
    </row>
    <row r="61" spans="1:20" ht="12.75">
      <c r="A61" s="58">
        <v>11</v>
      </c>
      <c r="B61" s="58" t="s">
        <v>125</v>
      </c>
      <c r="C61" s="58">
        <v>3</v>
      </c>
      <c r="D61" s="58">
        <v>89</v>
      </c>
      <c r="E61" s="58">
        <v>72</v>
      </c>
      <c r="F61" s="58">
        <v>0</v>
      </c>
      <c r="G61" s="58">
        <v>0</v>
      </c>
      <c r="H61" s="58">
        <v>0</v>
      </c>
      <c r="I61" s="58">
        <v>6</v>
      </c>
      <c r="J61" s="58">
        <v>7</v>
      </c>
      <c r="K61" s="58">
        <v>0</v>
      </c>
      <c r="L61" s="58">
        <v>4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 t="s">
        <v>199</v>
      </c>
    </row>
    <row r="62" spans="1:20" ht="12.75">
      <c r="A62" s="58">
        <v>1</v>
      </c>
      <c r="B62" s="58" t="s">
        <v>117</v>
      </c>
      <c r="C62" s="58">
        <v>3</v>
      </c>
      <c r="D62" s="58">
        <v>80</v>
      </c>
      <c r="E62" s="58">
        <v>60</v>
      </c>
      <c r="F62" s="58">
        <v>0</v>
      </c>
      <c r="G62" s="58">
        <v>0</v>
      </c>
      <c r="H62" s="58">
        <v>0</v>
      </c>
      <c r="I62" s="58">
        <v>0</v>
      </c>
      <c r="J62" s="58">
        <v>7</v>
      </c>
      <c r="K62" s="58">
        <v>5</v>
      </c>
      <c r="L62" s="58">
        <v>8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 t="s">
        <v>200</v>
      </c>
    </row>
    <row r="63" spans="1:20" ht="12.75">
      <c r="A63" s="58">
        <v>9</v>
      </c>
      <c r="B63" s="58" t="s">
        <v>123</v>
      </c>
      <c r="C63" s="58">
        <v>3</v>
      </c>
      <c r="D63" s="58">
        <v>100</v>
      </c>
      <c r="E63" s="58">
        <v>60</v>
      </c>
      <c r="F63" s="58">
        <v>0</v>
      </c>
      <c r="G63" s="58">
        <v>0</v>
      </c>
      <c r="H63" s="58">
        <v>0</v>
      </c>
      <c r="I63" s="58">
        <v>0</v>
      </c>
      <c r="J63" s="58">
        <v>7</v>
      </c>
      <c r="K63" s="58">
        <v>5</v>
      </c>
      <c r="L63" s="58">
        <v>8</v>
      </c>
      <c r="M63" s="58">
        <v>20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 t="s">
        <v>201</v>
      </c>
    </row>
    <row r="64" spans="1:20" ht="12.75">
      <c r="A64" s="58">
        <v>7</v>
      </c>
      <c r="B64" s="58" t="s">
        <v>121</v>
      </c>
      <c r="C64" s="58">
        <v>3</v>
      </c>
      <c r="D64" s="58">
        <v>109</v>
      </c>
      <c r="E64" s="58">
        <v>72</v>
      </c>
      <c r="F64" s="58">
        <v>0</v>
      </c>
      <c r="G64" s="58">
        <v>0</v>
      </c>
      <c r="H64" s="58">
        <v>0</v>
      </c>
      <c r="I64" s="58">
        <v>9</v>
      </c>
      <c r="J64" s="58">
        <v>12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16</v>
      </c>
      <c r="S64" s="58">
        <v>0</v>
      </c>
      <c r="T64" s="58" t="s">
        <v>202</v>
      </c>
    </row>
    <row r="65" spans="1:20" ht="12.75">
      <c r="A65" s="58">
        <v>26</v>
      </c>
      <c r="B65" s="58" t="s">
        <v>139</v>
      </c>
      <c r="C65" s="58">
        <v>4</v>
      </c>
      <c r="D65" s="58">
        <v>93</v>
      </c>
      <c r="E65" s="58">
        <v>72</v>
      </c>
      <c r="F65" s="58">
        <v>0</v>
      </c>
      <c r="G65" s="58">
        <v>0</v>
      </c>
      <c r="H65" s="58">
        <v>0</v>
      </c>
      <c r="I65" s="58">
        <v>3</v>
      </c>
      <c r="J65" s="58">
        <v>0</v>
      </c>
      <c r="K65" s="58">
        <v>5</v>
      </c>
      <c r="L65" s="58">
        <v>4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9</v>
      </c>
      <c r="T65" s="58" t="s">
        <v>203</v>
      </c>
    </row>
    <row r="66" spans="1:20" ht="12.75">
      <c r="A66" s="58">
        <v>15</v>
      </c>
      <c r="B66" s="58" t="s">
        <v>128</v>
      </c>
      <c r="C66" s="58">
        <v>3</v>
      </c>
      <c r="D66" s="58">
        <v>61</v>
      </c>
      <c r="E66" s="58">
        <v>54</v>
      </c>
      <c r="F66" s="58">
        <v>0</v>
      </c>
      <c r="G66" s="58">
        <v>0</v>
      </c>
      <c r="H66" s="58">
        <v>0</v>
      </c>
      <c r="I66" s="58">
        <v>0</v>
      </c>
      <c r="J66" s="58">
        <v>7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 t="s">
        <v>204</v>
      </c>
    </row>
    <row r="67" spans="1:20" ht="12.75">
      <c r="A67" s="58">
        <v>18</v>
      </c>
      <c r="B67" s="58" t="s">
        <v>131</v>
      </c>
      <c r="C67" s="58">
        <v>3</v>
      </c>
      <c r="D67" s="58">
        <v>86</v>
      </c>
      <c r="E67" s="58">
        <v>60</v>
      </c>
      <c r="F67" s="58">
        <v>0</v>
      </c>
      <c r="G67" s="58">
        <v>0</v>
      </c>
      <c r="H67" s="58">
        <v>0</v>
      </c>
      <c r="I67" s="58">
        <v>9</v>
      </c>
      <c r="J67" s="58">
        <v>0</v>
      </c>
      <c r="K67" s="58">
        <v>0</v>
      </c>
      <c r="L67" s="58">
        <v>8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9</v>
      </c>
      <c r="T67" s="58" t="s">
        <v>205</v>
      </c>
    </row>
    <row r="68" spans="1:20" ht="12.75">
      <c r="A68" s="58">
        <v>6</v>
      </c>
      <c r="B68" s="58" t="s">
        <v>141</v>
      </c>
      <c r="C68" s="58">
        <v>3</v>
      </c>
      <c r="D68" s="58">
        <v>80</v>
      </c>
      <c r="E68" s="58">
        <v>54</v>
      </c>
      <c r="F68" s="58">
        <v>0</v>
      </c>
      <c r="G68" s="58">
        <v>15</v>
      </c>
      <c r="H68" s="58">
        <v>0</v>
      </c>
      <c r="I68" s="58">
        <v>0</v>
      </c>
      <c r="J68" s="58">
        <v>7</v>
      </c>
      <c r="K68" s="58">
        <v>0</v>
      </c>
      <c r="L68" s="58">
        <v>4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 t="s">
        <v>206</v>
      </c>
    </row>
    <row r="69" spans="1:20" ht="12.75">
      <c r="A69" s="58">
        <v>20</v>
      </c>
      <c r="B69" s="58" t="s">
        <v>133</v>
      </c>
      <c r="C69" s="58">
        <v>3</v>
      </c>
      <c r="D69" s="58">
        <v>79</v>
      </c>
      <c r="E69" s="58">
        <v>66</v>
      </c>
      <c r="F69" s="58">
        <v>0</v>
      </c>
      <c r="G69" s="58">
        <v>0</v>
      </c>
      <c r="H69" s="58">
        <v>0</v>
      </c>
      <c r="I69" s="58">
        <v>9</v>
      </c>
      <c r="J69" s="58">
        <v>0</v>
      </c>
      <c r="K69" s="58">
        <v>0</v>
      </c>
      <c r="L69" s="58">
        <v>4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 t="s">
        <v>207</v>
      </c>
    </row>
    <row r="70" spans="1:20" ht="12.75">
      <c r="A70" s="58">
        <v>23</v>
      </c>
      <c r="B70" s="58" t="s">
        <v>136</v>
      </c>
      <c r="C70" s="58">
        <v>3</v>
      </c>
      <c r="D70" s="58">
        <v>83</v>
      </c>
      <c r="E70" s="58">
        <v>72</v>
      </c>
      <c r="F70" s="58">
        <v>0</v>
      </c>
      <c r="G70" s="58">
        <v>0</v>
      </c>
      <c r="H70" s="58">
        <v>0</v>
      </c>
      <c r="I70" s="58">
        <v>6</v>
      </c>
      <c r="J70" s="58">
        <v>0</v>
      </c>
      <c r="K70" s="58">
        <v>5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 t="s">
        <v>208</v>
      </c>
    </row>
    <row r="71" spans="1:20" ht="12.75">
      <c r="A71" s="58">
        <v>8</v>
      </c>
      <c r="B71" s="58" t="s">
        <v>122</v>
      </c>
      <c r="C71" s="58">
        <v>3</v>
      </c>
      <c r="D71" s="58">
        <v>91</v>
      </c>
      <c r="E71" s="58">
        <v>66</v>
      </c>
      <c r="F71" s="58">
        <v>9</v>
      </c>
      <c r="G71" s="58">
        <v>0</v>
      </c>
      <c r="H71" s="58">
        <v>0</v>
      </c>
      <c r="I71" s="58">
        <v>0</v>
      </c>
      <c r="J71" s="58">
        <v>7</v>
      </c>
      <c r="K71" s="58">
        <v>5</v>
      </c>
      <c r="L71" s="58">
        <v>4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 t="s">
        <v>209</v>
      </c>
    </row>
    <row r="72" spans="1:20" ht="12.75">
      <c r="A72" s="58">
        <v>2</v>
      </c>
      <c r="B72" s="58" t="s">
        <v>118</v>
      </c>
      <c r="C72" s="58">
        <v>3</v>
      </c>
      <c r="D72" s="58">
        <v>112</v>
      </c>
      <c r="E72" s="58">
        <v>72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20</v>
      </c>
      <c r="N72" s="58">
        <v>0</v>
      </c>
      <c r="O72" s="58">
        <v>0</v>
      </c>
      <c r="P72" s="58">
        <v>0</v>
      </c>
      <c r="Q72" s="58">
        <v>0</v>
      </c>
      <c r="R72" s="58">
        <v>20</v>
      </c>
      <c r="S72" s="58">
        <v>0</v>
      </c>
      <c r="T72" s="58" t="s">
        <v>210</v>
      </c>
    </row>
    <row r="73" spans="1:20" ht="12.75">
      <c r="A73" s="58">
        <v>17</v>
      </c>
      <c r="B73" s="58" t="s">
        <v>130</v>
      </c>
      <c r="C73" s="58">
        <v>3</v>
      </c>
      <c r="D73" s="58">
        <v>95</v>
      </c>
      <c r="E73" s="58">
        <v>66</v>
      </c>
      <c r="F73" s="58">
        <v>0</v>
      </c>
      <c r="G73" s="58">
        <v>0</v>
      </c>
      <c r="H73" s="58">
        <v>0</v>
      </c>
      <c r="I73" s="58">
        <v>9</v>
      </c>
      <c r="J73" s="58">
        <v>7</v>
      </c>
      <c r="K73" s="58">
        <v>5</v>
      </c>
      <c r="L73" s="58">
        <v>8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 t="s">
        <v>211</v>
      </c>
    </row>
    <row r="74" spans="1:20" ht="12.75">
      <c r="A74" s="58">
        <v>27</v>
      </c>
      <c r="B74" s="58" t="s">
        <v>140</v>
      </c>
      <c r="C74" s="58">
        <v>3</v>
      </c>
      <c r="D74" s="58">
        <v>65</v>
      </c>
      <c r="E74" s="58">
        <v>54</v>
      </c>
      <c r="F74" s="58">
        <v>0</v>
      </c>
      <c r="G74" s="58">
        <v>0</v>
      </c>
      <c r="H74" s="58">
        <v>0</v>
      </c>
      <c r="I74" s="58">
        <v>0</v>
      </c>
      <c r="J74" s="58">
        <v>7</v>
      </c>
      <c r="K74" s="58">
        <v>0</v>
      </c>
      <c r="L74" s="58">
        <v>4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 t="s">
        <v>212</v>
      </c>
    </row>
    <row r="75" spans="1:20" ht="12.75">
      <c r="A75" s="52">
        <v>10</v>
      </c>
      <c r="B75" s="52" t="s">
        <v>124</v>
      </c>
      <c r="C75" s="52">
        <v>4</v>
      </c>
      <c r="D75" s="52">
        <v>111</v>
      </c>
      <c r="E75" s="52">
        <v>72</v>
      </c>
      <c r="F75" s="52">
        <v>9</v>
      </c>
      <c r="G75" s="52">
        <v>0</v>
      </c>
      <c r="H75" s="52">
        <v>0</v>
      </c>
      <c r="I75" s="52">
        <v>9</v>
      </c>
      <c r="J75" s="52">
        <v>7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14</v>
      </c>
      <c r="S75" s="52">
        <v>0</v>
      </c>
      <c r="T75" s="52" t="s">
        <v>213</v>
      </c>
    </row>
    <row r="76" spans="1:20" ht="12.75">
      <c r="A76" s="52">
        <v>14</v>
      </c>
      <c r="B76" s="52" t="s">
        <v>127</v>
      </c>
      <c r="C76" s="52">
        <v>4</v>
      </c>
      <c r="D76" s="52">
        <v>94</v>
      </c>
      <c r="E76" s="52">
        <v>66</v>
      </c>
      <c r="F76" s="52">
        <v>0</v>
      </c>
      <c r="G76" s="52">
        <v>0</v>
      </c>
      <c r="H76" s="52">
        <v>0</v>
      </c>
      <c r="I76" s="52">
        <v>0</v>
      </c>
      <c r="J76" s="52">
        <v>24</v>
      </c>
      <c r="K76" s="52">
        <v>0</v>
      </c>
      <c r="L76" s="52">
        <v>4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 t="s">
        <v>214</v>
      </c>
    </row>
    <row r="77" spans="1:20" ht="12.75">
      <c r="A77" s="52">
        <v>16</v>
      </c>
      <c r="B77" s="52" t="s">
        <v>129</v>
      </c>
      <c r="C77" s="52">
        <v>4</v>
      </c>
      <c r="D77" s="52">
        <v>76</v>
      </c>
      <c r="E77" s="52">
        <v>72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4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 t="s">
        <v>215</v>
      </c>
    </row>
    <row r="78" spans="1:20" ht="12.75">
      <c r="A78" s="52">
        <v>25</v>
      </c>
      <c r="B78" s="52" t="s">
        <v>138</v>
      </c>
      <c r="C78" s="52">
        <v>3</v>
      </c>
      <c r="D78" s="52">
        <v>94</v>
      </c>
      <c r="E78" s="52">
        <v>60</v>
      </c>
      <c r="F78" s="52">
        <v>0</v>
      </c>
      <c r="G78" s="52">
        <v>0</v>
      </c>
      <c r="H78" s="52">
        <v>0</v>
      </c>
      <c r="I78" s="52">
        <v>0</v>
      </c>
      <c r="J78" s="52">
        <v>21</v>
      </c>
      <c r="K78" s="52">
        <v>5</v>
      </c>
      <c r="L78" s="52">
        <v>8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 t="s">
        <v>216</v>
      </c>
    </row>
    <row r="79" spans="1:20" ht="12.75">
      <c r="A79" s="52">
        <v>5</v>
      </c>
      <c r="B79" s="52" t="s">
        <v>120</v>
      </c>
      <c r="C79" s="52">
        <v>4</v>
      </c>
      <c r="D79" s="52">
        <v>128</v>
      </c>
      <c r="E79" s="52">
        <v>72</v>
      </c>
      <c r="F79" s="52">
        <v>0</v>
      </c>
      <c r="G79" s="52">
        <v>0</v>
      </c>
      <c r="H79" s="52">
        <v>0</v>
      </c>
      <c r="I79" s="52">
        <v>0</v>
      </c>
      <c r="J79" s="52">
        <v>7</v>
      </c>
      <c r="K79" s="52">
        <v>5</v>
      </c>
      <c r="L79" s="52">
        <v>8</v>
      </c>
      <c r="M79" s="52">
        <v>20</v>
      </c>
      <c r="N79" s="52">
        <v>0</v>
      </c>
      <c r="O79" s="52">
        <v>0</v>
      </c>
      <c r="P79" s="52">
        <v>0</v>
      </c>
      <c r="Q79" s="52">
        <v>0</v>
      </c>
      <c r="R79" s="52">
        <v>16</v>
      </c>
      <c r="S79" s="52">
        <v>0</v>
      </c>
      <c r="T79" s="52" t="s">
        <v>217</v>
      </c>
    </row>
  </sheetData>
  <autoFilter ref="A1:S98"/>
  <printOptions/>
  <pageMargins left="0.75" right="0.75" top="1" bottom="1" header="0.5" footer="0.5"/>
  <pageSetup horizontalDpi="600" verticalDpi="6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32"/>
  <sheetViews>
    <sheetView workbookViewId="0" topLeftCell="A1">
      <selection activeCell="B8" sqref="B8"/>
    </sheetView>
  </sheetViews>
  <sheetFormatPr defaultColWidth="9.140625" defaultRowHeight="12.75"/>
  <cols>
    <col min="2" max="2" width="44.8515625" style="0" customWidth="1"/>
  </cols>
  <sheetData>
    <row r="1" spans="1:11" ht="13.5" customHeight="1">
      <c r="A1" s="144" t="s">
        <v>57</v>
      </c>
      <c r="B1" s="144" t="s">
        <v>69</v>
      </c>
      <c r="C1" s="82" t="s">
        <v>58</v>
      </c>
      <c r="D1" s="144" t="s">
        <v>59</v>
      </c>
      <c r="E1" s="74" t="s">
        <v>66</v>
      </c>
      <c r="F1" s="107"/>
      <c r="G1" s="76" t="s">
        <v>67</v>
      </c>
      <c r="H1" s="77">
        <f ca="1">NOW()</f>
        <v>40866.974151967595</v>
      </c>
      <c r="I1" s="75"/>
      <c r="J1" s="75"/>
      <c r="K1" s="108"/>
    </row>
    <row r="2" spans="1:11" ht="14.25" customHeight="1">
      <c r="A2" s="145"/>
      <c r="B2" s="145"/>
      <c r="C2" s="83" t="s">
        <v>68</v>
      </c>
      <c r="D2" s="145"/>
      <c r="E2" s="78">
        <v>1</v>
      </c>
      <c r="F2" s="78">
        <v>2</v>
      </c>
      <c r="G2" s="78">
        <v>3</v>
      </c>
      <c r="H2" s="78">
        <v>4</v>
      </c>
      <c r="I2" s="78">
        <v>5</v>
      </c>
      <c r="J2" s="78">
        <v>6</v>
      </c>
      <c r="K2" s="78">
        <v>7</v>
      </c>
    </row>
    <row r="3" spans="1:11" ht="15.75" customHeight="1">
      <c r="A3" s="84">
        <f>TeamsData!A2</f>
        <v>1</v>
      </c>
      <c r="B3" s="81" t="str">
        <f>TeamsData!C2</f>
        <v>40 Loyola SAPlings</v>
      </c>
      <c r="C3" s="80">
        <f>IF(TeamsData!$N2=0,"",TeamsData!K2)</f>
        <v>103</v>
      </c>
      <c r="D3" s="79">
        <f>IF(TeamsData!$N2=0,"",TeamsData!L2)</f>
        <v>13</v>
      </c>
      <c r="E3" s="79">
        <f>TeamsData!D2</f>
        <v>103</v>
      </c>
      <c r="F3" s="79">
        <f>TeamsData!E2</f>
        <v>79</v>
      </c>
      <c r="G3" s="79">
        <f>TeamsData!F2</f>
        <v>80</v>
      </c>
      <c r="H3" s="79">
        <f>TeamsData!G2</f>
      </c>
      <c r="I3" s="79">
        <f>TeamsData!H2</f>
      </c>
      <c r="J3" s="79">
        <f>TeamsData!I2</f>
      </c>
      <c r="K3" s="79">
        <f>TeamsData!J2</f>
      </c>
    </row>
    <row r="4" spans="1:11" ht="15.75" customHeight="1">
      <c r="A4" s="84">
        <f>TeamsData!A3</f>
        <v>2</v>
      </c>
      <c r="B4" s="81" t="str">
        <f>TeamsData!C3</f>
        <v>Adroits</v>
      </c>
      <c r="C4" s="80">
        <f>IF(TeamsData!$N3=0,"",TeamsData!K3)</f>
        <v>112</v>
      </c>
      <c r="D4" s="79">
        <f>IF(TeamsData!$N3=0,"",TeamsData!L3)</f>
        <v>8</v>
      </c>
      <c r="E4" s="79">
        <f>TeamsData!D3</f>
        <v>70</v>
      </c>
      <c r="F4" s="79">
        <f>TeamsData!E3</f>
        <v>85</v>
      </c>
      <c r="G4" s="79">
        <f>TeamsData!F3</f>
        <v>112</v>
      </c>
      <c r="H4" s="79">
        <f>TeamsData!G3</f>
      </c>
      <c r="I4" s="79">
        <f>TeamsData!H3</f>
      </c>
      <c r="J4" s="79">
        <f>TeamsData!I3</f>
      </c>
      <c r="K4" s="79">
        <f>TeamsData!J3</f>
      </c>
    </row>
    <row r="5" spans="1:11" ht="15.75" customHeight="1">
      <c r="A5" s="84">
        <f>TeamsData!A4</f>
        <v>3</v>
      </c>
      <c r="B5" s="81" t="str">
        <f>TeamsData!C4</f>
        <v>Eaglebots</v>
      </c>
      <c r="C5" s="80">
        <f>IF(TeamsData!$N4=0,"",TeamsData!K4)</f>
        <v>185</v>
      </c>
      <c r="D5" s="79">
        <f>IF(TeamsData!$N4=0,"",TeamsData!L4)</f>
        <v>1</v>
      </c>
      <c r="E5" s="79">
        <f>TeamsData!D4</f>
        <v>85</v>
      </c>
      <c r="F5" s="79">
        <f>TeamsData!E4</f>
        <v>185</v>
      </c>
      <c r="G5" s="79">
        <f>TeamsData!F4</f>
        <v>175</v>
      </c>
      <c r="H5" s="79">
        <f>TeamsData!G4</f>
      </c>
      <c r="I5" s="79">
        <f>TeamsData!H4</f>
      </c>
      <c r="J5" s="79">
        <f>TeamsData!I4</f>
      </c>
      <c r="K5" s="79">
        <f>TeamsData!J4</f>
      </c>
    </row>
    <row r="6" spans="1:11" ht="15.75" customHeight="1">
      <c r="A6" s="84">
        <f>TeamsData!A5</f>
        <v>4</v>
      </c>
      <c r="B6" s="81" t="str">
        <f>TeamsData!C5</f>
        <v>-</v>
      </c>
      <c r="C6" s="80">
        <f>IF(TeamsData!$N5=0,"",TeamsData!K5)</f>
      </c>
      <c r="D6" s="79">
        <f>IF(TeamsData!$N5=0,"",TeamsData!L5)</f>
      </c>
      <c r="E6" s="79">
        <f>TeamsData!D5</f>
      </c>
      <c r="F6" s="79">
        <f>TeamsData!E5</f>
      </c>
      <c r="G6" s="79">
        <f>TeamsData!F5</f>
      </c>
      <c r="H6" s="79">
        <f>TeamsData!G5</f>
      </c>
      <c r="I6" s="79">
        <f>TeamsData!H5</f>
      </c>
      <c r="J6" s="79">
        <f>TeamsData!I5</f>
      </c>
      <c r="K6" s="79">
        <f>TeamsData!J5</f>
      </c>
    </row>
    <row r="7" spans="1:11" ht="15.75" customHeight="1">
      <c r="A7" s="84">
        <f>TeamsData!A6</f>
        <v>5</v>
      </c>
      <c r="B7" s="81" t="str">
        <f>TeamsData!C6</f>
        <v>Gutbusters</v>
      </c>
      <c r="C7" s="80">
        <f>IF(TeamsData!$N6=0,"",TeamsData!K6)</f>
        <v>128</v>
      </c>
      <c r="D7" s="79">
        <f>IF(TeamsData!$N6=0,"",TeamsData!L6)</f>
        <v>5</v>
      </c>
      <c r="E7" s="79">
        <f>TeamsData!D6</f>
        <v>74</v>
      </c>
      <c r="F7" s="79">
        <f>TeamsData!E6</f>
        <v>87</v>
      </c>
      <c r="G7" s="79">
        <f>TeamsData!F6</f>
        <v>126</v>
      </c>
      <c r="H7" s="79">
        <f>TeamsData!G6</f>
        <v>128</v>
      </c>
      <c r="I7" s="79">
        <f>TeamsData!H6</f>
      </c>
      <c r="J7" s="79">
        <f>TeamsData!I6</f>
      </c>
      <c r="K7" s="79">
        <f>TeamsData!J6</f>
      </c>
    </row>
    <row r="8" spans="1:11" ht="15.75" customHeight="1">
      <c r="A8" s="84">
        <f>TeamsData!A7</f>
        <v>6</v>
      </c>
      <c r="B8" s="81" t="str">
        <f>TeamsData!C7</f>
        <v>Hazardous Waste</v>
      </c>
      <c r="C8" s="80">
        <f>IF(TeamsData!$N7=0,"",TeamsData!K7)</f>
        <v>93</v>
      </c>
      <c r="D8" s="79">
        <f>IF(TeamsData!$N7=0,"",TeamsData!L7)</f>
        <v>20</v>
      </c>
      <c r="E8" s="79">
        <f>TeamsData!D7</f>
        <v>93</v>
      </c>
      <c r="F8" s="79">
        <f>TeamsData!E7</f>
        <v>64</v>
      </c>
      <c r="G8" s="79">
        <f>TeamsData!F7</f>
        <v>80</v>
      </c>
      <c r="H8" s="79">
        <f>TeamsData!G7</f>
      </c>
      <c r="I8" s="79">
        <f>TeamsData!H7</f>
      </c>
      <c r="J8" s="79">
        <f>TeamsData!I7</f>
      </c>
      <c r="K8" s="79">
        <f>TeamsData!J7</f>
      </c>
    </row>
    <row r="9" spans="1:11" ht="15.75" customHeight="1">
      <c r="A9" s="84">
        <f>TeamsData!A8</f>
        <v>7</v>
      </c>
      <c r="B9" s="81" t="str">
        <f>TeamsData!C8</f>
        <v>JOACK</v>
      </c>
      <c r="C9" s="80">
        <f>IF(TeamsData!$N8=0,"",TeamsData!K8)</f>
        <v>132</v>
      </c>
      <c r="D9" s="79">
        <f>IF(TeamsData!$N8=0,"",TeamsData!L8)</f>
        <v>4</v>
      </c>
      <c r="E9" s="79">
        <f>TeamsData!D8</f>
        <v>82</v>
      </c>
      <c r="F9" s="79">
        <f>TeamsData!E8</f>
        <v>132</v>
      </c>
      <c r="G9" s="79">
        <f>TeamsData!F8</f>
        <v>109</v>
      </c>
      <c r="H9" s="79">
        <f>TeamsData!G8</f>
      </c>
      <c r="I9" s="79">
        <f>TeamsData!H8</f>
      </c>
      <c r="J9" s="79">
        <f>TeamsData!I8</f>
      </c>
      <c r="K9" s="79">
        <f>TeamsData!J8</f>
      </c>
    </row>
    <row r="10" spans="1:11" ht="15.75" customHeight="1">
      <c r="A10" s="84">
        <f>TeamsData!A9</f>
        <v>8</v>
      </c>
      <c r="B10" s="81" t="str">
        <f>TeamsData!C9</f>
        <v>Kung Food</v>
      </c>
      <c r="C10" s="80">
        <f>IF(TeamsData!$N9=0,"",TeamsData!K9)</f>
        <v>97</v>
      </c>
      <c r="D10" s="79">
        <f>IF(TeamsData!$N9=0,"",TeamsData!L9)</f>
        <v>16</v>
      </c>
      <c r="E10" s="79">
        <f>TeamsData!D9</f>
        <v>82</v>
      </c>
      <c r="F10" s="79">
        <f>TeamsData!E9</f>
        <v>97</v>
      </c>
      <c r="G10" s="79">
        <f>TeamsData!F9</f>
        <v>91</v>
      </c>
      <c r="H10" s="79">
        <f>TeamsData!G9</f>
      </c>
      <c r="I10" s="79">
        <f>TeamsData!H9</f>
      </c>
      <c r="J10" s="79">
        <f>TeamsData!I9</f>
      </c>
      <c r="K10" s="79">
        <f>TeamsData!J9</f>
      </c>
    </row>
    <row r="11" spans="1:11" ht="15.75" customHeight="1">
      <c r="A11" s="84">
        <f>TeamsData!A10</f>
        <v>9</v>
      </c>
      <c r="B11" s="81" t="str">
        <f>TeamsData!C10</f>
        <v>Lego Lightning</v>
      </c>
      <c r="C11" s="80">
        <f>IF(TeamsData!$N10=0,"",TeamsData!K10)</f>
        <v>107</v>
      </c>
      <c r="D11" s="79">
        <f>IF(TeamsData!$N10=0,"",TeamsData!L10)</f>
        <v>12</v>
      </c>
      <c r="E11" s="79">
        <f>TeamsData!D10</f>
        <v>107</v>
      </c>
      <c r="F11" s="79">
        <f>TeamsData!E10</f>
        <v>81</v>
      </c>
      <c r="G11" s="79">
        <f>TeamsData!F10</f>
        <v>100</v>
      </c>
      <c r="H11" s="79">
        <f>TeamsData!G10</f>
      </c>
      <c r="I11" s="79">
        <f>TeamsData!H10</f>
      </c>
      <c r="J11" s="79">
        <f>TeamsData!I10</f>
      </c>
      <c r="K11" s="79">
        <f>TeamsData!J10</f>
      </c>
    </row>
    <row r="12" spans="1:11" ht="15.75" customHeight="1">
      <c r="A12" s="84">
        <f>TeamsData!A11</f>
        <v>10</v>
      </c>
      <c r="B12" s="81" t="str">
        <f>TeamsData!C11</f>
        <v>Lightning Bots</v>
      </c>
      <c r="C12" s="80">
        <f>IF(TeamsData!$N11=0,"",TeamsData!K11)</f>
        <v>124</v>
      </c>
      <c r="D12" s="79">
        <f>IF(TeamsData!$N11=0,"",TeamsData!L11)</f>
        <v>6</v>
      </c>
      <c r="E12" s="79">
        <f>TeamsData!D11</f>
        <v>124</v>
      </c>
      <c r="F12" s="79">
        <f>TeamsData!E11</f>
        <v>114</v>
      </c>
      <c r="G12" s="79">
        <f>TeamsData!F11</f>
        <v>120</v>
      </c>
      <c r="H12" s="79">
        <f>TeamsData!G11</f>
        <v>111</v>
      </c>
      <c r="I12" s="79">
        <f>TeamsData!H11</f>
      </c>
      <c r="J12" s="79">
        <f>TeamsData!I11</f>
      </c>
      <c r="K12" s="79">
        <f>TeamsData!J11</f>
      </c>
    </row>
    <row r="13" spans="1:11" ht="15.75" customHeight="1">
      <c r="A13" s="84">
        <f>TeamsData!A12</f>
        <v>11</v>
      </c>
      <c r="B13" s="81" t="str">
        <f>TeamsData!C12</f>
        <v>Mat Scientists</v>
      </c>
      <c r="C13" s="80">
        <f>IF(TeamsData!$N12=0,"",TeamsData!K12)</f>
        <v>89</v>
      </c>
      <c r="D13" s="79">
        <f>IF(TeamsData!$N12=0,"",TeamsData!L12)</f>
        <v>21</v>
      </c>
      <c r="E13" s="79">
        <f>TeamsData!D12</f>
        <v>87</v>
      </c>
      <c r="F13" s="79">
        <f>TeamsData!E12</f>
        <v>82</v>
      </c>
      <c r="G13" s="79">
        <f>TeamsData!F12</f>
        <v>89</v>
      </c>
      <c r="H13" s="79">
        <f>TeamsData!G12</f>
      </c>
      <c r="I13" s="79">
        <f>TeamsData!H12</f>
      </c>
      <c r="J13" s="79">
        <f>TeamsData!I12</f>
      </c>
      <c r="K13" s="79">
        <f>TeamsData!J12</f>
      </c>
    </row>
    <row r="14" spans="1:11" ht="15.75" customHeight="1">
      <c r="A14" s="84">
        <f>TeamsData!A13</f>
        <v>12</v>
      </c>
      <c r="B14" s="81" t="str">
        <f>TeamsData!C13</f>
        <v>Mechanxt</v>
      </c>
      <c r="C14" s="80">
        <f>IF(TeamsData!$N13=0,"",TeamsData!K13)</f>
        <v>109</v>
      </c>
      <c r="D14" s="79">
        <f>IF(TeamsData!$N13=0,"",TeamsData!L13)</f>
        <v>11</v>
      </c>
      <c r="E14" s="79">
        <f>TeamsData!D13</f>
        <v>109</v>
      </c>
      <c r="F14" s="79">
        <f>TeamsData!E13</f>
        <v>78</v>
      </c>
      <c r="G14" s="79">
        <f>TeamsData!F13</f>
      </c>
      <c r="H14" s="79">
        <f>TeamsData!G13</f>
      </c>
      <c r="I14" s="79">
        <f>TeamsData!H13</f>
      </c>
      <c r="J14" s="79">
        <f>TeamsData!I13</f>
      </c>
      <c r="K14" s="79">
        <f>TeamsData!J13</f>
      </c>
    </row>
    <row r="15" spans="1:11" ht="15.75" customHeight="1">
      <c r="A15" s="84">
        <f>TeamsData!A14</f>
        <v>13</v>
      </c>
      <c r="B15" s="81" t="str">
        <f>TeamsData!C14</f>
        <v>-</v>
      </c>
      <c r="C15" s="80">
        <f>IF(TeamsData!$N14=0,"",TeamsData!K14)</f>
      </c>
      <c r="D15" s="79">
        <f>IF(TeamsData!$N14=0,"",TeamsData!L14)</f>
      </c>
      <c r="E15" s="79">
        <f>TeamsData!D14</f>
      </c>
      <c r="F15" s="79">
        <f>TeamsData!E14</f>
      </c>
      <c r="G15" s="79">
        <f>TeamsData!F14</f>
      </c>
      <c r="H15" s="79">
        <f>TeamsData!G14</f>
      </c>
      <c r="I15" s="79">
        <f>TeamsData!H14</f>
      </c>
      <c r="J15" s="79">
        <f>TeamsData!I14</f>
      </c>
      <c r="K15" s="79">
        <f>TeamsData!J14</f>
      </c>
    </row>
    <row r="16" spans="1:11" ht="15.75" customHeight="1">
      <c r="A16" s="84">
        <f>TeamsData!A15</f>
        <v>14</v>
      </c>
      <c r="B16" s="81" t="str">
        <f>TeamsData!C15</f>
        <v>Mysterious Skeleton Squirrels</v>
      </c>
      <c r="C16" s="80">
        <f>IF(TeamsData!$N15=0,"",TeamsData!K15)</f>
        <v>138</v>
      </c>
      <c r="D16" s="79">
        <f>IF(TeamsData!$N15=0,"",TeamsData!L15)</f>
        <v>3</v>
      </c>
      <c r="E16" s="79">
        <f>TeamsData!D15</f>
        <v>97</v>
      </c>
      <c r="F16" s="79">
        <f>TeamsData!E15</f>
        <v>72</v>
      </c>
      <c r="G16" s="79">
        <f>TeamsData!F15</f>
        <v>138</v>
      </c>
      <c r="H16" s="79">
        <f>TeamsData!G15</f>
        <v>94</v>
      </c>
      <c r="I16" s="79">
        <f>TeamsData!H15</f>
      </c>
      <c r="J16" s="79">
        <f>TeamsData!I15</f>
      </c>
      <c r="K16" s="79">
        <f>TeamsData!J15</f>
      </c>
    </row>
    <row r="17" spans="1:11" ht="15.75" customHeight="1">
      <c r="A17" s="84">
        <f>TeamsData!A16</f>
        <v>15</v>
      </c>
      <c r="B17" s="81" t="str">
        <f>TeamsData!C16</f>
        <v>Nano-bugs</v>
      </c>
      <c r="C17" s="80">
        <f>IF(TeamsData!$N16=0,"",TeamsData!K16)</f>
        <v>74</v>
      </c>
      <c r="D17" s="79">
        <f>IF(TeamsData!$N16=0,"",TeamsData!L16)</f>
        <v>25</v>
      </c>
      <c r="E17" s="79">
        <f>TeamsData!D16</f>
        <v>54</v>
      </c>
      <c r="F17" s="79">
        <f>TeamsData!E16</f>
        <v>74</v>
      </c>
      <c r="G17" s="79">
        <f>TeamsData!F16</f>
        <v>61</v>
      </c>
      <c r="H17" s="79">
        <f>TeamsData!G16</f>
      </c>
      <c r="I17" s="79">
        <f>TeamsData!H16</f>
      </c>
      <c r="J17" s="79">
        <f>TeamsData!I16</f>
      </c>
      <c r="K17" s="79">
        <f>TeamsData!J16</f>
      </c>
    </row>
    <row r="18" spans="1:11" ht="15.75" customHeight="1">
      <c r="A18" s="84">
        <f>TeamsData!A17</f>
        <v>16</v>
      </c>
      <c r="B18" s="81" t="str">
        <f>TeamsData!C17</f>
        <v>N-Knacks-T</v>
      </c>
      <c r="C18" s="80">
        <f>IF(TeamsData!$N17=0,"",TeamsData!K17)</f>
        <v>101</v>
      </c>
      <c r="D18" s="79">
        <f>IF(TeamsData!$N17=0,"",TeamsData!L17)</f>
        <v>14</v>
      </c>
      <c r="E18" s="79">
        <f>TeamsData!D17</f>
        <v>61</v>
      </c>
      <c r="F18" s="79">
        <f>TeamsData!E17</f>
        <v>101</v>
      </c>
      <c r="G18" s="79">
        <f>TeamsData!F17</f>
        <v>73</v>
      </c>
      <c r="H18" s="79">
        <f>TeamsData!G17</f>
        <v>76</v>
      </c>
      <c r="I18" s="79">
        <f>TeamsData!H17</f>
      </c>
      <c r="J18" s="79">
        <f>TeamsData!I17</f>
      </c>
      <c r="K18" s="79">
        <f>TeamsData!J17</f>
      </c>
    </row>
    <row r="19" spans="1:11" ht="15.75" customHeight="1">
      <c r="A19" s="84">
        <f>TeamsData!A18</f>
        <v>17</v>
      </c>
      <c r="B19" s="81" t="str">
        <f>TeamsData!C18</f>
        <v>Peaceful Programmers</v>
      </c>
      <c r="C19" s="80">
        <f>IF(TeamsData!$N18=0,"",TeamsData!K18)</f>
        <v>124</v>
      </c>
      <c r="D19" s="79">
        <f>IF(TeamsData!$N18=0,"",TeamsData!L18)</f>
        <v>7</v>
      </c>
      <c r="E19" s="79">
        <f>TeamsData!D18</f>
        <v>107</v>
      </c>
      <c r="F19" s="79">
        <f>TeamsData!E18</f>
        <v>124</v>
      </c>
      <c r="G19" s="79">
        <f>TeamsData!F18</f>
        <v>95</v>
      </c>
      <c r="H19" s="79">
        <f>TeamsData!G18</f>
      </c>
      <c r="I19" s="79">
        <f>TeamsData!H18</f>
      </c>
      <c r="J19" s="79">
        <f>TeamsData!I18</f>
      </c>
      <c r="K19" s="79">
        <f>TeamsData!J18</f>
      </c>
    </row>
    <row r="20" spans="1:11" ht="15.75" customHeight="1">
      <c r="A20" s="84">
        <f>TeamsData!A19</f>
        <v>18</v>
      </c>
      <c r="B20" s="81" t="str">
        <f>TeamsData!C19</f>
        <v>robokids</v>
      </c>
      <c r="C20" s="80">
        <f>IF(TeamsData!$N19=0,"",TeamsData!K19)</f>
        <v>93</v>
      </c>
      <c r="D20" s="79">
        <f>IF(TeamsData!$N19=0,"",TeamsData!L19)</f>
        <v>18</v>
      </c>
      <c r="E20" s="79">
        <f>TeamsData!D19</f>
        <v>93</v>
      </c>
      <c r="F20" s="79">
        <f>TeamsData!E19</f>
        <v>87</v>
      </c>
      <c r="G20" s="79">
        <f>TeamsData!F19</f>
        <v>86</v>
      </c>
      <c r="H20" s="79">
        <f>TeamsData!G19</f>
      </c>
      <c r="I20" s="79">
        <f>TeamsData!H19</f>
      </c>
      <c r="J20" s="79">
        <f>TeamsData!I19</f>
      </c>
      <c r="K20" s="79">
        <f>TeamsData!J19</f>
      </c>
    </row>
    <row r="21" spans="1:11" ht="15.75" customHeight="1">
      <c r="A21" s="84">
        <f>TeamsData!A20</f>
        <v>19</v>
      </c>
      <c r="B21" s="81" t="str">
        <f>TeamsData!C20</f>
        <v>Robot-Arbiters</v>
      </c>
      <c r="C21" s="80">
        <f>IF(TeamsData!$N20=0,"",TeamsData!K20)</f>
        <v>111</v>
      </c>
      <c r="D21" s="79">
        <f>IF(TeamsData!$N20=0,"",TeamsData!L20)</f>
        <v>10</v>
      </c>
      <c r="E21" s="79">
        <f>TeamsData!D20</f>
        <v>111</v>
      </c>
      <c r="F21" s="79">
        <f>TeamsData!E20</f>
        <v>90</v>
      </c>
      <c r="G21" s="79">
        <f>TeamsData!F20</f>
        <v>93</v>
      </c>
      <c r="H21" s="79">
        <f>TeamsData!G20</f>
      </c>
      <c r="I21" s="79">
        <f>TeamsData!H20</f>
      </c>
      <c r="J21" s="79">
        <f>TeamsData!I20</f>
      </c>
      <c r="K21" s="79">
        <f>TeamsData!J20</f>
      </c>
    </row>
    <row r="22" spans="1:11" ht="15.75" customHeight="1">
      <c r="A22" s="84">
        <f>TeamsData!A21</f>
        <v>20</v>
      </c>
      <c r="B22" s="81" t="str">
        <f>TeamsData!C21</f>
        <v>Robotic Ravioli</v>
      </c>
      <c r="C22" s="80">
        <f>IF(TeamsData!$N21=0,"",TeamsData!K21)</f>
        <v>100</v>
      </c>
      <c r="D22" s="79">
        <f>IF(TeamsData!$N21=0,"",TeamsData!L21)</f>
        <v>15</v>
      </c>
      <c r="E22" s="79">
        <f>TeamsData!D21</f>
        <v>83</v>
      </c>
      <c r="F22" s="79">
        <f>TeamsData!E21</f>
        <v>100</v>
      </c>
      <c r="G22" s="79">
        <f>TeamsData!F21</f>
        <v>79</v>
      </c>
      <c r="H22" s="79">
        <f>TeamsData!G21</f>
      </c>
      <c r="I22" s="79">
        <f>TeamsData!H21</f>
      </c>
      <c r="J22" s="79">
        <f>TeamsData!I21</f>
      </c>
      <c r="K22" s="79">
        <f>TeamsData!J21</f>
      </c>
    </row>
    <row r="23" spans="1:11" ht="15.75" customHeight="1">
      <c r="A23" s="84">
        <f>TeamsData!A22</f>
        <v>21</v>
      </c>
      <c r="B23" s="81" t="str">
        <f>TeamsData!C22</f>
        <v>SAP Explorers</v>
      </c>
      <c r="C23" s="80">
        <f>IF(TeamsData!$N22=0,"",TeamsData!K22)</f>
        <v>96</v>
      </c>
      <c r="D23" s="79">
        <f>IF(TeamsData!$N22=0,"",TeamsData!L22)</f>
        <v>17</v>
      </c>
      <c r="E23" s="79">
        <f>TeamsData!D22</f>
        <v>75</v>
      </c>
      <c r="F23" s="79">
        <f>TeamsData!E22</f>
        <v>96</v>
      </c>
      <c r="G23" s="79">
        <f>TeamsData!F22</f>
      </c>
      <c r="H23" s="79">
        <f>TeamsData!G22</f>
      </c>
      <c r="I23" s="79">
        <f>TeamsData!H22</f>
      </c>
      <c r="J23" s="79">
        <f>TeamsData!I22</f>
      </c>
      <c r="K23" s="79">
        <f>TeamsData!J22</f>
      </c>
    </row>
    <row r="24" spans="1:11" ht="15.75" customHeight="1">
      <c r="A24" s="84">
        <f>TeamsData!A23</f>
        <v>22</v>
      </c>
      <c r="B24" s="81" t="str">
        <f>TeamsData!C23</f>
        <v>SAPP0WER4</v>
      </c>
      <c r="C24" s="80">
        <f>IF(TeamsData!$N23=0,"",TeamsData!K23)</f>
        <v>86</v>
      </c>
      <c r="D24" s="79">
        <f>IF(TeamsData!$N23=0,"",TeamsData!L23)</f>
        <v>22</v>
      </c>
      <c r="E24" s="79">
        <f>TeamsData!D23</f>
        <v>86</v>
      </c>
      <c r="F24" s="79">
        <f>TeamsData!E23</f>
        <v>86</v>
      </c>
      <c r="G24" s="79">
        <f>TeamsData!F23</f>
      </c>
      <c r="H24" s="79">
        <f>TeamsData!G23</f>
      </c>
      <c r="I24" s="79">
        <f>TeamsData!H23</f>
      </c>
      <c r="J24" s="79">
        <f>TeamsData!I23</f>
      </c>
      <c r="K24" s="79">
        <f>TeamsData!J23</f>
      </c>
    </row>
    <row r="25" spans="1:11" ht="15.75" customHeight="1">
      <c r="A25" s="84">
        <f>TeamsData!A24</f>
        <v>23</v>
      </c>
      <c r="B25" s="81" t="str">
        <f>TeamsData!C24</f>
        <v>Smart Cookies</v>
      </c>
      <c r="C25" s="80">
        <f>IF(TeamsData!$N24=0,"",TeamsData!K24)</f>
        <v>83</v>
      </c>
      <c r="D25" s="79">
        <f>IF(TeamsData!$N24=0,"",TeamsData!L24)</f>
        <v>23</v>
      </c>
      <c r="E25" s="79">
        <f>TeamsData!D24</f>
        <v>57</v>
      </c>
      <c r="F25" s="79">
        <f>TeamsData!E24</f>
        <v>69</v>
      </c>
      <c r="G25" s="79">
        <f>TeamsData!F24</f>
        <v>83</v>
      </c>
      <c r="H25" s="79">
        <f>TeamsData!G24</f>
      </c>
      <c r="I25" s="79">
        <f>TeamsData!H24</f>
      </c>
      <c r="J25" s="79">
        <f>TeamsData!I24</f>
      </c>
      <c r="K25" s="79">
        <f>TeamsData!J24</f>
      </c>
    </row>
    <row r="26" spans="1:11" ht="15.75" customHeight="1">
      <c r="A26" s="84">
        <f>TeamsData!A25</f>
        <v>24</v>
      </c>
      <c r="B26" s="81" t="str">
        <f>TeamsData!C25</f>
        <v>The Other Team Again</v>
      </c>
      <c r="C26" s="80">
        <f>IF(TeamsData!$N25=0,"",TeamsData!K25)</f>
        <v>154</v>
      </c>
      <c r="D26" s="79">
        <f>IF(TeamsData!$N25=0,"",TeamsData!L25)</f>
        <v>2</v>
      </c>
      <c r="E26" s="79">
        <f>TeamsData!D25</f>
        <v>154</v>
      </c>
      <c r="F26" s="79">
        <f>TeamsData!E25</f>
        <v>147</v>
      </c>
      <c r="G26" s="79">
        <f>TeamsData!F25</f>
      </c>
      <c r="H26" s="79">
        <f>TeamsData!G25</f>
      </c>
      <c r="I26" s="79">
        <f>TeamsData!H25</f>
      </c>
      <c r="J26" s="79">
        <f>TeamsData!I25</f>
      </c>
      <c r="K26" s="79">
        <f>TeamsData!J25</f>
      </c>
    </row>
    <row r="27" spans="1:11" ht="15.75" customHeight="1">
      <c r="A27" s="84">
        <f>TeamsData!A26</f>
        <v>25</v>
      </c>
      <c r="B27" s="81" t="str">
        <f>TeamsData!C26</f>
        <v>Vikings</v>
      </c>
      <c r="C27" s="80">
        <f>IF(TeamsData!$N26=0,"",TeamsData!K26)</f>
        <v>111</v>
      </c>
      <c r="D27" s="79">
        <f>IF(TeamsData!$N26=0,"",TeamsData!L26)</f>
        <v>9</v>
      </c>
      <c r="E27" s="79">
        <f>TeamsData!D26</f>
        <v>79</v>
      </c>
      <c r="F27" s="79">
        <f>TeamsData!E26</f>
        <v>111</v>
      </c>
      <c r="G27" s="79">
        <f>TeamsData!F26</f>
        <v>94</v>
      </c>
      <c r="H27" s="79">
        <f>TeamsData!G26</f>
      </c>
      <c r="I27" s="79">
        <f>TeamsData!H26</f>
      </c>
      <c r="J27" s="79">
        <f>TeamsData!I26</f>
      </c>
      <c r="K27" s="79">
        <f>TeamsData!J26</f>
      </c>
    </row>
    <row r="28" spans="1:11" ht="15.75" customHeight="1">
      <c r="A28" s="84">
        <f>TeamsData!A27</f>
        <v>26</v>
      </c>
      <c r="B28" s="81" t="str">
        <f>TeamsData!C27</f>
        <v>Xtreme Creators</v>
      </c>
      <c r="C28" s="80">
        <f>IF(TeamsData!$N27=0,"",TeamsData!K27)</f>
        <v>93</v>
      </c>
      <c r="D28" s="79">
        <f>IF(TeamsData!$N27=0,"",TeamsData!L27)</f>
        <v>19</v>
      </c>
      <c r="E28" s="79">
        <f>TeamsData!D27</f>
        <v>80</v>
      </c>
      <c r="F28" s="79">
        <f>TeamsData!E27</f>
        <v>76</v>
      </c>
      <c r="G28" s="79">
        <f>TeamsData!F27</f>
        <v>76</v>
      </c>
      <c r="H28" s="79">
        <f>TeamsData!G27</f>
        <v>93</v>
      </c>
      <c r="I28" s="79">
        <f>TeamsData!H27</f>
      </c>
      <c r="J28" s="79">
        <f>TeamsData!I27</f>
      </c>
      <c r="K28" s="79">
        <f>TeamsData!J27</f>
      </c>
    </row>
    <row r="29" spans="1:11" ht="15.75" customHeight="1">
      <c r="A29" s="84">
        <f>TeamsData!A28</f>
        <v>27</v>
      </c>
      <c r="B29" s="81" t="str">
        <f>TeamsData!C28</f>
        <v>Robotics space girls</v>
      </c>
      <c r="C29" s="80">
        <f>IF(TeamsData!$N28=0,"",TeamsData!K28)</f>
        <v>77</v>
      </c>
      <c r="D29" s="79">
        <f>IF(TeamsData!$N28=0,"",TeamsData!L28)</f>
        <v>24</v>
      </c>
      <c r="E29" s="79">
        <f>TeamsData!D28</f>
        <v>58</v>
      </c>
      <c r="F29" s="79">
        <f>TeamsData!E28</f>
        <v>77</v>
      </c>
      <c r="G29" s="79">
        <f>TeamsData!F28</f>
        <v>65</v>
      </c>
      <c r="H29" s="79">
        <f>TeamsData!G28</f>
      </c>
      <c r="I29" s="79">
        <f>TeamsData!H28</f>
      </c>
      <c r="J29" s="79">
        <f>TeamsData!I28</f>
      </c>
      <c r="K29" s="79">
        <f>TeamsData!J28</f>
      </c>
    </row>
    <row r="30" spans="1:11" ht="15.75" customHeight="1">
      <c r="A30" s="84">
        <f>TeamsData!A29</f>
        <v>28</v>
      </c>
      <c r="B30" s="81" t="str">
        <f>TeamsData!C29</f>
        <v>-</v>
      </c>
      <c r="C30" s="80">
        <f>IF(TeamsData!$N29=0,"",TeamsData!K29)</f>
      </c>
      <c r="D30" s="79">
        <f>IF(TeamsData!$N29=0,"",TeamsData!L29)</f>
      </c>
      <c r="E30" s="79">
        <f>TeamsData!D29</f>
      </c>
      <c r="F30" s="79">
        <f>TeamsData!E29</f>
      </c>
      <c r="G30" s="79">
        <f>TeamsData!F29</f>
      </c>
      <c r="H30" s="79">
        <f>TeamsData!G29</f>
      </c>
      <c r="I30" s="79">
        <f>TeamsData!H29</f>
      </c>
      <c r="J30" s="79">
        <f>TeamsData!I29</f>
      </c>
      <c r="K30" s="79">
        <f>TeamsData!J29</f>
      </c>
    </row>
    <row r="31" spans="1:11" ht="15.75" customHeight="1">
      <c r="A31" s="84">
        <f>TeamsData!A30</f>
        <v>29</v>
      </c>
      <c r="B31" s="81" t="str">
        <f>TeamsData!C30</f>
        <v>-</v>
      </c>
      <c r="C31" s="80">
        <f>IF(TeamsData!$N30=0,"",TeamsData!K30)</f>
      </c>
      <c r="D31" s="79">
        <f>IF(TeamsData!$N30=0,"",TeamsData!L30)</f>
      </c>
      <c r="E31" s="79">
        <f>TeamsData!D30</f>
      </c>
      <c r="F31" s="79">
        <f>TeamsData!E30</f>
      </c>
      <c r="G31" s="79">
        <f>TeamsData!F30</f>
      </c>
      <c r="H31" s="79">
        <f>TeamsData!G30</f>
      </c>
      <c r="I31" s="79">
        <f>TeamsData!H30</f>
      </c>
      <c r="J31" s="79">
        <f>TeamsData!I30</f>
      </c>
      <c r="K31" s="79">
        <f>TeamsData!J30</f>
      </c>
    </row>
    <row r="32" spans="1:11" ht="15.75" customHeight="1">
      <c r="A32" s="84">
        <f>TeamsData!A31</f>
        <v>30</v>
      </c>
      <c r="B32" s="81" t="str">
        <f>TeamsData!C31</f>
        <v>-</v>
      </c>
      <c r="C32" s="80">
        <f>IF(TeamsData!$N31=0,"",TeamsData!K31)</f>
      </c>
      <c r="D32" s="79">
        <f>IF(TeamsData!$N31=0,"",TeamsData!L31)</f>
      </c>
      <c r="E32" s="79">
        <f>TeamsData!D31</f>
      </c>
      <c r="F32" s="79">
        <f>TeamsData!E31</f>
      </c>
      <c r="G32" s="79">
        <f>TeamsData!F31</f>
      </c>
      <c r="H32" s="79">
        <f>TeamsData!G31</f>
      </c>
      <c r="I32" s="79">
        <f>TeamsData!H31</f>
      </c>
      <c r="J32" s="79">
        <f>TeamsData!I31</f>
      </c>
      <c r="K32" s="79">
        <f>TeamsData!J31</f>
      </c>
    </row>
  </sheetData>
  <mergeCells count="3">
    <mergeCell ref="A1:A2"/>
    <mergeCell ref="D1:D2"/>
    <mergeCell ref="B1:B2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32"/>
  <sheetViews>
    <sheetView workbookViewId="0" topLeftCell="A1">
      <selection activeCell="F16" sqref="F16"/>
    </sheetView>
  </sheetViews>
  <sheetFormatPr defaultColWidth="9.140625" defaultRowHeight="12.75"/>
  <cols>
    <col min="1" max="1" width="8.28125" style="0" customWidth="1"/>
    <col min="2" max="2" width="10.140625" style="0" bestFit="1" customWidth="1"/>
    <col min="4" max="4" width="45.140625" style="0" customWidth="1"/>
  </cols>
  <sheetData>
    <row r="1" spans="1:11" ht="13.5" customHeight="1">
      <c r="A1" s="144" t="s">
        <v>59</v>
      </c>
      <c r="B1" s="82" t="s">
        <v>58</v>
      </c>
      <c r="C1" s="144" t="s">
        <v>57</v>
      </c>
      <c r="D1" s="146" t="s">
        <v>65</v>
      </c>
      <c r="E1" s="74" t="s">
        <v>66</v>
      </c>
      <c r="F1" s="107"/>
      <c r="G1" s="76" t="s">
        <v>67</v>
      </c>
      <c r="H1" s="77">
        <f ca="1">NOW()</f>
        <v>40866.974151967595</v>
      </c>
      <c r="I1" s="75"/>
      <c r="J1" s="75"/>
      <c r="K1" s="108"/>
    </row>
    <row r="2" spans="1:11" ht="14.25" customHeight="1">
      <c r="A2" s="145"/>
      <c r="B2" s="83" t="s">
        <v>68</v>
      </c>
      <c r="C2" s="145"/>
      <c r="D2" s="145"/>
      <c r="E2" s="78">
        <v>1</v>
      </c>
      <c r="F2" s="78">
        <v>2</v>
      </c>
      <c r="G2" s="78">
        <v>3</v>
      </c>
      <c r="H2" s="78">
        <v>4</v>
      </c>
      <c r="I2" s="78">
        <v>5</v>
      </c>
      <c r="J2" s="78">
        <v>6</v>
      </c>
      <c r="K2" s="78">
        <v>7</v>
      </c>
    </row>
    <row r="3" spans="1:11" ht="15.75" customHeight="1">
      <c r="A3" s="79">
        <f>IF(TeamsData!$N34=0,"",TeamsData!L34)</f>
        <v>1</v>
      </c>
      <c r="B3" s="80">
        <f>IF(TeamsData!$N34=0,"",TeamsData!K34)</f>
        <v>185</v>
      </c>
      <c r="C3" s="84">
        <f>TeamsData!A34</f>
        <v>3</v>
      </c>
      <c r="D3" s="81" t="str">
        <f>TeamsData!C34</f>
        <v>Eaglebots</v>
      </c>
      <c r="E3" s="79">
        <f>TeamsData!D34</f>
        <v>85</v>
      </c>
      <c r="F3" s="79">
        <f>TeamsData!E34</f>
        <v>185</v>
      </c>
      <c r="G3" s="79">
        <f>TeamsData!F34</f>
        <v>175</v>
      </c>
      <c r="H3" s="79">
        <f>TeamsData!G34</f>
      </c>
      <c r="I3" s="79">
        <f>TeamsData!H34</f>
      </c>
      <c r="J3" s="79">
        <f>TeamsData!I34</f>
      </c>
      <c r="K3" s="79">
        <f>TeamsData!J34</f>
      </c>
    </row>
    <row r="4" spans="1:11" ht="15.75" customHeight="1">
      <c r="A4" s="79">
        <f>IF(TeamsData!$N35=0,"",TeamsData!L35)</f>
        <v>2</v>
      </c>
      <c r="B4" s="80">
        <f>IF(TeamsData!$N35=0,"",TeamsData!K35)</f>
        <v>154</v>
      </c>
      <c r="C4" s="84">
        <f>TeamsData!A35</f>
        <v>24</v>
      </c>
      <c r="D4" s="81" t="str">
        <f>TeamsData!C35</f>
        <v>The Other Team Again</v>
      </c>
      <c r="E4" s="79">
        <f>TeamsData!D35</f>
        <v>154</v>
      </c>
      <c r="F4" s="79">
        <f>TeamsData!E35</f>
        <v>147</v>
      </c>
      <c r="G4" s="79">
        <f>TeamsData!F35</f>
      </c>
      <c r="H4" s="79">
        <f>TeamsData!G35</f>
      </c>
      <c r="I4" s="79">
        <f>TeamsData!H35</f>
      </c>
      <c r="J4" s="79">
        <f>TeamsData!I35</f>
      </c>
      <c r="K4" s="79">
        <f>TeamsData!J35</f>
      </c>
    </row>
    <row r="5" spans="1:11" ht="15.75" customHeight="1">
      <c r="A5" s="79">
        <f>IF(TeamsData!$N36=0,"",TeamsData!L36)</f>
        <v>3</v>
      </c>
      <c r="B5" s="80">
        <f>IF(TeamsData!$N36=0,"",TeamsData!K36)</f>
        <v>138</v>
      </c>
      <c r="C5" s="84">
        <f>TeamsData!A36</f>
        <v>14</v>
      </c>
      <c r="D5" s="81" t="str">
        <f>TeamsData!C36</f>
        <v>Mysterious Skeleton Squirrels</v>
      </c>
      <c r="E5" s="79">
        <f>TeamsData!D36</f>
        <v>97</v>
      </c>
      <c r="F5" s="79">
        <f>TeamsData!E36</f>
        <v>72</v>
      </c>
      <c r="G5" s="79">
        <f>TeamsData!F36</f>
        <v>138</v>
      </c>
      <c r="H5" s="79">
        <f>TeamsData!G36</f>
        <v>94</v>
      </c>
      <c r="I5" s="79">
        <f>TeamsData!H36</f>
      </c>
      <c r="J5" s="79">
        <f>TeamsData!I36</f>
      </c>
      <c r="K5" s="79">
        <f>TeamsData!J36</f>
      </c>
    </row>
    <row r="6" spans="1:11" ht="15.75" customHeight="1">
      <c r="A6" s="79">
        <f>IF(TeamsData!$N37=0,"",TeamsData!L37)</f>
        <v>4</v>
      </c>
      <c r="B6" s="80">
        <f>IF(TeamsData!$N37=0,"",TeamsData!K37)</f>
        <v>132</v>
      </c>
      <c r="C6" s="84">
        <f>TeamsData!A37</f>
        <v>7</v>
      </c>
      <c r="D6" s="81" t="str">
        <f>TeamsData!C37</f>
        <v>JOACK</v>
      </c>
      <c r="E6" s="79">
        <f>TeamsData!D37</f>
        <v>82</v>
      </c>
      <c r="F6" s="79">
        <f>TeamsData!E37</f>
        <v>132</v>
      </c>
      <c r="G6" s="79">
        <f>TeamsData!F37</f>
        <v>109</v>
      </c>
      <c r="H6" s="79">
        <f>TeamsData!G37</f>
      </c>
      <c r="I6" s="79">
        <f>TeamsData!H37</f>
      </c>
      <c r="J6" s="79">
        <f>TeamsData!I37</f>
      </c>
      <c r="K6" s="79">
        <f>TeamsData!J37</f>
      </c>
    </row>
    <row r="7" spans="1:11" ht="15.75" customHeight="1">
      <c r="A7" s="79">
        <f>IF(TeamsData!$N38=0,"",TeamsData!L38)</f>
        <v>5</v>
      </c>
      <c r="B7" s="80">
        <f>IF(TeamsData!$N38=0,"",TeamsData!K38)</f>
        <v>128</v>
      </c>
      <c r="C7" s="84">
        <f>TeamsData!A38</f>
        <v>5</v>
      </c>
      <c r="D7" s="81" t="str">
        <f>TeamsData!C38</f>
        <v>Gutbusters</v>
      </c>
      <c r="E7" s="79">
        <f>TeamsData!D38</f>
        <v>74</v>
      </c>
      <c r="F7" s="79">
        <f>TeamsData!E38</f>
        <v>87</v>
      </c>
      <c r="G7" s="79">
        <f>TeamsData!F38</f>
        <v>126</v>
      </c>
      <c r="H7" s="79">
        <f>TeamsData!G38</f>
        <v>128</v>
      </c>
      <c r="I7" s="79">
        <f>TeamsData!H38</f>
      </c>
      <c r="J7" s="79">
        <f>TeamsData!I38</f>
      </c>
      <c r="K7" s="79">
        <f>TeamsData!J38</f>
      </c>
    </row>
    <row r="8" spans="1:11" ht="15.75" customHeight="1">
      <c r="A8" s="79">
        <f>IF(TeamsData!$N39=0,"",TeamsData!L39)</f>
        <v>6</v>
      </c>
      <c r="B8" s="80">
        <f>IF(TeamsData!$N39=0,"",TeamsData!K39)</f>
        <v>124</v>
      </c>
      <c r="C8" s="84">
        <f>TeamsData!A39</f>
        <v>10</v>
      </c>
      <c r="D8" s="81" t="str">
        <f>TeamsData!C39</f>
        <v>Lightning Bots</v>
      </c>
      <c r="E8" s="79">
        <f>TeamsData!D39</f>
        <v>124</v>
      </c>
      <c r="F8" s="79">
        <f>TeamsData!E39</f>
        <v>114</v>
      </c>
      <c r="G8" s="79">
        <f>TeamsData!F39</f>
        <v>120</v>
      </c>
      <c r="H8" s="79">
        <f>TeamsData!G39</f>
        <v>111</v>
      </c>
      <c r="I8" s="79">
        <f>TeamsData!H39</f>
      </c>
      <c r="J8" s="79">
        <f>TeamsData!I39</f>
      </c>
      <c r="K8" s="79">
        <f>TeamsData!J39</f>
      </c>
    </row>
    <row r="9" spans="1:11" ht="15.75" customHeight="1">
      <c r="A9" s="79">
        <f>IF(TeamsData!$N40=0,"",TeamsData!L40)</f>
        <v>7</v>
      </c>
      <c r="B9" s="80">
        <f>IF(TeamsData!$N40=0,"",TeamsData!K40)</f>
        <v>124</v>
      </c>
      <c r="C9" s="84">
        <f>TeamsData!A40</f>
        <v>17</v>
      </c>
      <c r="D9" s="81" t="str">
        <f>TeamsData!C40</f>
        <v>Peaceful Programmers</v>
      </c>
      <c r="E9" s="79">
        <f>TeamsData!D40</f>
        <v>107</v>
      </c>
      <c r="F9" s="79">
        <f>TeamsData!E40</f>
        <v>124</v>
      </c>
      <c r="G9" s="79">
        <f>TeamsData!F40</f>
        <v>95</v>
      </c>
      <c r="H9" s="79">
        <f>TeamsData!G40</f>
      </c>
      <c r="I9" s="79">
        <f>TeamsData!H40</f>
      </c>
      <c r="J9" s="79">
        <f>TeamsData!I40</f>
      </c>
      <c r="K9" s="79">
        <f>TeamsData!J40</f>
      </c>
    </row>
    <row r="10" spans="1:11" ht="15.75" customHeight="1">
      <c r="A10" s="79">
        <f>IF(TeamsData!$N41=0,"",TeamsData!L41)</f>
        <v>8</v>
      </c>
      <c r="B10" s="80">
        <f>IF(TeamsData!$N41=0,"",TeamsData!K41)</f>
        <v>112</v>
      </c>
      <c r="C10" s="84">
        <f>TeamsData!A41</f>
        <v>2</v>
      </c>
      <c r="D10" s="81" t="str">
        <f>TeamsData!C41</f>
        <v>Adroits</v>
      </c>
      <c r="E10" s="79">
        <f>TeamsData!D41</f>
        <v>70</v>
      </c>
      <c r="F10" s="79">
        <f>TeamsData!E41</f>
        <v>85</v>
      </c>
      <c r="G10" s="79">
        <f>TeamsData!F41</f>
        <v>112</v>
      </c>
      <c r="H10" s="79">
        <f>TeamsData!G41</f>
      </c>
      <c r="I10" s="79">
        <f>TeamsData!H41</f>
      </c>
      <c r="J10" s="79">
        <f>TeamsData!I41</f>
      </c>
      <c r="K10" s="79">
        <f>TeamsData!J41</f>
      </c>
    </row>
    <row r="11" spans="1:11" ht="15.75" customHeight="1">
      <c r="A11" s="79">
        <f>IF(TeamsData!$N42=0,"",TeamsData!L42)</f>
        <v>9</v>
      </c>
      <c r="B11" s="80">
        <f>IF(TeamsData!$N42=0,"",TeamsData!K42)</f>
        <v>111</v>
      </c>
      <c r="C11" s="84">
        <f>TeamsData!A42</f>
        <v>25</v>
      </c>
      <c r="D11" s="81" t="str">
        <f>TeamsData!C42</f>
        <v>Vikings</v>
      </c>
      <c r="E11" s="79">
        <f>TeamsData!D42</f>
        <v>79</v>
      </c>
      <c r="F11" s="79">
        <f>TeamsData!E42</f>
        <v>111</v>
      </c>
      <c r="G11" s="79">
        <f>TeamsData!F42</f>
        <v>94</v>
      </c>
      <c r="H11" s="79">
        <f>TeamsData!G42</f>
      </c>
      <c r="I11" s="79">
        <f>TeamsData!H42</f>
      </c>
      <c r="J11" s="79">
        <f>TeamsData!I42</f>
      </c>
      <c r="K11" s="79">
        <f>TeamsData!J42</f>
      </c>
    </row>
    <row r="12" spans="1:11" ht="15.75" customHeight="1">
      <c r="A12" s="79">
        <f>IF(TeamsData!$N43=0,"",TeamsData!L43)</f>
        <v>10</v>
      </c>
      <c r="B12" s="80">
        <f>IF(TeamsData!$N43=0,"",TeamsData!K43)</f>
        <v>111</v>
      </c>
      <c r="C12" s="84">
        <f>TeamsData!A43</f>
        <v>19</v>
      </c>
      <c r="D12" s="81" t="str">
        <f>TeamsData!C43</f>
        <v>Robot-Arbiters</v>
      </c>
      <c r="E12" s="79">
        <f>TeamsData!D43</f>
        <v>111</v>
      </c>
      <c r="F12" s="79">
        <f>TeamsData!E43</f>
        <v>90</v>
      </c>
      <c r="G12" s="79">
        <f>TeamsData!F43</f>
        <v>93</v>
      </c>
      <c r="H12" s="79">
        <f>TeamsData!G43</f>
      </c>
      <c r="I12" s="79">
        <f>TeamsData!H43</f>
      </c>
      <c r="J12" s="79">
        <f>TeamsData!I43</f>
      </c>
      <c r="K12" s="79">
        <f>TeamsData!J43</f>
      </c>
    </row>
    <row r="13" spans="1:11" ht="15.75" customHeight="1">
      <c r="A13" s="79">
        <f>IF(TeamsData!$N44=0,"",TeamsData!L44)</f>
        <v>11</v>
      </c>
      <c r="B13" s="80">
        <f>IF(TeamsData!$N44=0,"",TeamsData!K44)</f>
        <v>109</v>
      </c>
      <c r="C13" s="84">
        <f>TeamsData!A44</f>
        <v>12</v>
      </c>
      <c r="D13" s="81" t="str">
        <f>TeamsData!C44</f>
        <v>Mechanxt</v>
      </c>
      <c r="E13" s="79">
        <f>TeamsData!D44</f>
        <v>109</v>
      </c>
      <c r="F13" s="79">
        <f>TeamsData!E44</f>
        <v>78</v>
      </c>
      <c r="G13" s="79">
        <f>TeamsData!F44</f>
      </c>
      <c r="H13" s="79">
        <f>TeamsData!G44</f>
      </c>
      <c r="I13" s="79">
        <f>TeamsData!H44</f>
      </c>
      <c r="J13" s="79">
        <f>TeamsData!I44</f>
      </c>
      <c r="K13" s="79">
        <f>TeamsData!J44</f>
      </c>
    </row>
    <row r="14" spans="1:11" ht="15.75" customHeight="1">
      <c r="A14" s="79">
        <f>IF(TeamsData!$N45=0,"",TeamsData!L45)</f>
        <v>12</v>
      </c>
      <c r="B14" s="80">
        <f>IF(TeamsData!$N45=0,"",TeamsData!K45)</f>
        <v>107</v>
      </c>
      <c r="C14" s="84">
        <f>TeamsData!A45</f>
        <v>9</v>
      </c>
      <c r="D14" s="81" t="str">
        <f>TeamsData!C45</f>
        <v>Lego Lightning</v>
      </c>
      <c r="E14" s="79">
        <f>TeamsData!D45</f>
        <v>107</v>
      </c>
      <c r="F14" s="79">
        <f>TeamsData!E45</f>
        <v>81</v>
      </c>
      <c r="G14" s="79">
        <f>TeamsData!F45</f>
        <v>100</v>
      </c>
      <c r="H14" s="79">
        <f>TeamsData!G45</f>
      </c>
      <c r="I14" s="79">
        <f>TeamsData!H45</f>
      </c>
      <c r="J14" s="79">
        <f>TeamsData!I45</f>
      </c>
      <c r="K14" s="79">
        <f>TeamsData!J45</f>
      </c>
    </row>
    <row r="15" spans="1:11" ht="15.75" customHeight="1">
      <c r="A15" s="79">
        <f>IF(TeamsData!$N46=0,"",TeamsData!L46)</f>
        <v>13</v>
      </c>
      <c r="B15" s="80">
        <f>IF(TeamsData!$N46=0,"",TeamsData!K46)</f>
        <v>103</v>
      </c>
      <c r="C15" s="84">
        <f>TeamsData!A46</f>
        <v>1</v>
      </c>
      <c r="D15" s="81" t="str">
        <f>TeamsData!C46</f>
        <v>40 Loyola SAPlings</v>
      </c>
      <c r="E15" s="79">
        <f>TeamsData!D46</f>
        <v>103</v>
      </c>
      <c r="F15" s="79">
        <f>TeamsData!E46</f>
        <v>79</v>
      </c>
      <c r="G15" s="79">
        <f>TeamsData!F46</f>
        <v>80</v>
      </c>
      <c r="H15" s="79">
        <f>TeamsData!G46</f>
      </c>
      <c r="I15" s="79">
        <f>TeamsData!H46</f>
      </c>
      <c r="J15" s="79">
        <f>TeamsData!I46</f>
      </c>
      <c r="K15" s="79">
        <f>TeamsData!J46</f>
      </c>
    </row>
    <row r="16" spans="1:11" ht="15.75" customHeight="1">
      <c r="A16" s="79">
        <f>IF(TeamsData!$N47=0,"",TeamsData!L47)</f>
        <v>14</v>
      </c>
      <c r="B16" s="80">
        <f>IF(TeamsData!$N47=0,"",TeamsData!K47)</f>
        <v>101</v>
      </c>
      <c r="C16" s="84">
        <f>TeamsData!A47</f>
        <v>16</v>
      </c>
      <c r="D16" s="81" t="str">
        <f>TeamsData!C47</f>
        <v>N-Knacks-T</v>
      </c>
      <c r="E16" s="79">
        <f>TeamsData!D47</f>
        <v>61</v>
      </c>
      <c r="F16" s="79">
        <f>TeamsData!E47</f>
        <v>101</v>
      </c>
      <c r="G16" s="79">
        <f>TeamsData!F47</f>
        <v>73</v>
      </c>
      <c r="H16" s="79">
        <f>TeamsData!G47</f>
        <v>76</v>
      </c>
      <c r="I16" s="79">
        <f>TeamsData!H47</f>
      </c>
      <c r="J16" s="79">
        <f>TeamsData!I47</f>
      </c>
      <c r="K16" s="79">
        <f>TeamsData!J47</f>
      </c>
    </row>
    <row r="17" spans="1:11" ht="15.75" customHeight="1">
      <c r="A17" s="79">
        <f>IF(TeamsData!$N48=0,"",TeamsData!L48)</f>
        <v>15</v>
      </c>
      <c r="B17" s="80">
        <f>IF(TeamsData!$N48=0,"",TeamsData!K48)</f>
        <v>100</v>
      </c>
      <c r="C17" s="84">
        <f>TeamsData!A48</f>
        <v>20</v>
      </c>
      <c r="D17" s="81" t="str">
        <f>TeamsData!C48</f>
        <v>Robotic Ravioli</v>
      </c>
      <c r="E17" s="79">
        <f>TeamsData!D48</f>
        <v>83</v>
      </c>
      <c r="F17" s="79">
        <f>TeamsData!E48</f>
        <v>100</v>
      </c>
      <c r="G17" s="79">
        <f>TeamsData!F48</f>
        <v>79</v>
      </c>
      <c r="H17" s="79">
        <f>TeamsData!G48</f>
      </c>
      <c r="I17" s="79">
        <f>TeamsData!H48</f>
      </c>
      <c r="J17" s="79">
        <f>TeamsData!I48</f>
      </c>
      <c r="K17" s="79">
        <f>TeamsData!J48</f>
      </c>
    </row>
    <row r="18" spans="1:11" ht="15.75" customHeight="1">
      <c r="A18" s="79">
        <f>IF(TeamsData!$N49=0,"",TeamsData!L49)</f>
        <v>16</v>
      </c>
      <c r="B18" s="80">
        <f>IF(TeamsData!$N49=0,"",TeamsData!K49)</f>
        <v>97</v>
      </c>
      <c r="C18" s="84">
        <f>TeamsData!A49</f>
        <v>8</v>
      </c>
      <c r="D18" s="81" t="str">
        <f>TeamsData!C49</f>
        <v>Kung Food</v>
      </c>
      <c r="E18" s="79">
        <f>TeamsData!D49</f>
        <v>82</v>
      </c>
      <c r="F18" s="79">
        <f>TeamsData!E49</f>
        <v>97</v>
      </c>
      <c r="G18" s="79">
        <f>TeamsData!F49</f>
        <v>91</v>
      </c>
      <c r="H18" s="79">
        <f>TeamsData!G49</f>
      </c>
      <c r="I18" s="79">
        <f>TeamsData!H49</f>
      </c>
      <c r="J18" s="79">
        <f>TeamsData!I49</f>
      </c>
      <c r="K18" s="79">
        <f>TeamsData!J49</f>
      </c>
    </row>
    <row r="19" spans="1:11" ht="15.75" customHeight="1">
      <c r="A19" s="79">
        <f>IF(TeamsData!$N50=0,"",TeamsData!L50)</f>
        <v>17</v>
      </c>
      <c r="B19" s="80">
        <f>IF(TeamsData!$N50=0,"",TeamsData!K50)</f>
        <v>96</v>
      </c>
      <c r="C19" s="84">
        <f>TeamsData!A50</f>
        <v>21</v>
      </c>
      <c r="D19" s="81" t="str">
        <f>TeamsData!C50</f>
        <v>SAP Explorers</v>
      </c>
      <c r="E19" s="79">
        <f>TeamsData!D50</f>
        <v>75</v>
      </c>
      <c r="F19" s="79">
        <f>TeamsData!E50</f>
        <v>96</v>
      </c>
      <c r="G19" s="79">
        <f>TeamsData!F50</f>
      </c>
      <c r="H19" s="79">
        <f>TeamsData!G50</f>
      </c>
      <c r="I19" s="79">
        <f>TeamsData!H50</f>
      </c>
      <c r="J19" s="79">
        <f>TeamsData!I50</f>
      </c>
      <c r="K19" s="79">
        <f>TeamsData!J50</f>
      </c>
    </row>
    <row r="20" spans="1:11" ht="15.75" customHeight="1">
      <c r="A20" s="79">
        <f>IF(TeamsData!$N51=0,"",TeamsData!L51)</f>
        <v>18</v>
      </c>
      <c r="B20" s="80">
        <f>IF(TeamsData!$N51=0,"",TeamsData!K51)</f>
        <v>93</v>
      </c>
      <c r="C20" s="84">
        <f>TeamsData!A51</f>
        <v>18</v>
      </c>
      <c r="D20" s="81" t="str">
        <f>TeamsData!C51</f>
        <v>robokids</v>
      </c>
      <c r="E20" s="79">
        <f>TeamsData!D51</f>
        <v>93</v>
      </c>
      <c r="F20" s="79">
        <f>TeamsData!E51</f>
        <v>87</v>
      </c>
      <c r="G20" s="79">
        <f>TeamsData!F51</f>
        <v>86</v>
      </c>
      <c r="H20" s="79">
        <f>TeamsData!G51</f>
      </c>
      <c r="I20" s="79">
        <f>TeamsData!H51</f>
      </c>
      <c r="J20" s="79">
        <f>TeamsData!I51</f>
      </c>
      <c r="K20" s="79">
        <f>TeamsData!J51</f>
      </c>
    </row>
    <row r="21" spans="1:11" ht="15.75" customHeight="1">
      <c r="A21" s="79">
        <f>IF(TeamsData!$N52=0,"",TeamsData!L52)</f>
        <v>19</v>
      </c>
      <c r="B21" s="80">
        <f>IF(TeamsData!$N52=0,"",TeamsData!K52)</f>
        <v>93</v>
      </c>
      <c r="C21" s="84">
        <f>TeamsData!A52</f>
        <v>26</v>
      </c>
      <c r="D21" s="81" t="str">
        <f>TeamsData!C52</f>
        <v>Xtreme Creators</v>
      </c>
      <c r="E21" s="79">
        <f>TeamsData!D52</f>
        <v>80</v>
      </c>
      <c r="F21" s="79">
        <f>TeamsData!E52</f>
        <v>76</v>
      </c>
      <c r="G21" s="79">
        <f>TeamsData!F52</f>
        <v>76</v>
      </c>
      <c r="H21" s="79">
        <f>TeamsData!G52</f>
        <v>93</v>
      </c>
      <c r="I21" s="79">
        <f>TeamsData!H52</f>
      </c>
      <c r="J21" s="79">
        <f>TeamsData!I52</f>
      </c>
      <c r="K21" s="79">
        <f>TeamsData!J52</f>
      </c>
    </row>
    <row r="22" spans="1:11" ht="15.75" customHeight="1">
      <c r="A22" s="79">
        <f>IF(TeamsData!$N53=0,"",TeamsData!L53)</f>
        <v>20</v>
      </c>
      <c r="B22" s="80">
        <f>IF(TeamsData!$N53=0,"",TeamsData!K53)</f>
        <v>93</v>
      </c>
      <c r="C22" s="84">
        <f>TeamsData!A53</f>
        <v>6</v>
      </c>
      <c r="D22" s="81" t="str">
        <f>TeamsData!C53</f>
        <v>Hazardous Waste</v>
      </c>
      <c r="E22" s="79">
        <f>TeamsData!D53</f>
        <v>93</v>
      </c>
      <c r="F22" s="79">
        <f>TeamsData!E53</f>
        <v>64</v>
      </c>
      <c r="G22" s="79">
        <f>TeamsData!F53</f>
        <v>80</v>
      </c>
      <c r="H22" s="79">
        <f>TeamsData!G53</f>
      </c>
      <c r="I22" s="79">
        <f>TeamsData!H53</f>
      </c>
      <c r="J22" s="79">
        <f>TeamsData!I53</f>
      </c>
      <c r="K22" s="79">
        <f>TeamsData!J53</f>
      </c>
    </row>
    <row r="23" spans="1:11" ht="15.75" customHeight="1">
      <c r="A23" s="79">
        <f>IF(TeamsData!$N54=0,"",TeamsData!L54)</f>
        <v>21</v>
      </c>
      <c r="B23" s="80">
        <f>IF(TeamsData!$N54=0,"",TeamsData!K54)</f>
        <v>89</v>
      </c>
      <c r="C23" s="84">
        <f>TeamsData!A54</f>
        <v>11</v>
      </c>
      <c r="D23" s="81" t="str">
        <f>TeamsData!C54</f>
        <v>Mat Scientists</v>
      </c>
      <c r="E23" s="79">
        <f>TeamsData!D54</f>
        <v>87</v>
      </c>
      <c r="F23" s="79">
        <f>TeamsData!E54</f>
        <v>82</v>
      </c>
      <c r="G23" s="79">
        <f>TeamsData!F54</f>
        <v>89</v>
      </c>
      <c r="H23" s="79">
        <f>TeamsData!G54</f>
      </c>
      <c r="I23" s="79">
        <f>TeamsData!H54</f>
      </c>
      <c r="J23" s="79">
        <f>TeamsData!I54</f>
      </c>
      <c r="K23" s="79">
        <f>TeamsData!J54</f>
      </c>
    </row>
    <row r="24" spans="1:11" ht="15.75" customHeight="1">
      <c r="A24" s="79">
        <f>IF(TeamsData!$N55=0,"",TeamsData!L55)</f>
        <v>22</v>
      </c>
      <c r="B24" s="80">
        <f>IF(TeamsData!$N55=0,"",TeamsData!K55)</f>
        <v>86</v>
      </c>
      <c r="C24" s="84">
        <f>TeamsData!A55</f>
        <v>22</v>
      </c>
      <c r="D24" s="81" t="str">
        <f>TeamsData!C55</f>
        <v>SAPP0WER4</v>
      </c>
      <c r="E24" s="79">
        <f>TeamsData!D55</f>
        <v>86</v>
      </c>
      <c r="F24" s="79">
        <f>TeamsData!E55</f>
        <v>86</v>
      </c>
      <c r="G24" s="79">
        <f>TeamsData!F55</f>
      </c>
      <c r="H24" s="79">
        <f>TeamsData!G55</f>
      </c>
      <c r="I24" s="79">
        <f>TeamsData!H55</f>
      </c>
      <c r="J24" s="79">
        <f>TeamsData!I55</f>
      </c>
      <c r="K24" s="79">
        <f>TeamsData!J55</f>
      </c>
    </row>
    <row r="25" spans="1:11" ht="15.75" customHeight="1">
      <c r="A25" s="79">
        <f>IF(TeamsData!$N56=0,"",TeamsData!L56)</f>
        <v>23</v>
      </c>
      <c r="B25" s="80">
        <f>IF(TeamsData!$N56=0,"",TeamsData!K56)</f>
        <v>83</v>
      </c>
      <c r="C25" s="84">
        <f>TeamsData!A56</f>
        <v>23</v>
      </c>
      <c r="D25" s="81" t="str">
        <f>TeamsData!C56</f>
        <v>Smart Cookies</v>
      </c>
      <c r="E25" s="79">
        <f>TeamsData!D56</f>
        <v>57</v>
      </c>
      <c r="F25" s="79">
        <f>TeamsData!E56</f>
        <v>69</v>
      </c>
      <c r="G25" s="79">
        <f>TeamsData!F56</f>
        <v>83</v>
      </c>
      <c r="H25" s="79">
        <f>TeamsData!G56</f>
      </c>
      <c r="I25" s="79">
        <f>TeamsData!H56</f>
      </c>
      <c r="J25" s="79">
        <f>TeamsData!I56</f>
      </c>
      <c r="K25" s="79">
        <f>TeamsData!J56</f>
      </c>
    </row>
    <row r="26" spans="1:11" ht="15.75" customHeight="1">
      <c r="A26" s="79">
        <f>IF(TeamsData!$N57=0,"",TeamsData!L57)</f>
        <v>24</v>
      </c>
      <c r="B26" s="80">
        <f>IF(TeamsData!$N57=0,"",TeamsData!K57)</f>
        <v>77</v>
      </c>
      <c r="C26" s="84">
        <f>TeamsData!A57</f>
        <v>27</v>
      </c>
      <c r="D26" s="81" t="str">
        <f>TeamsData!C57</f>
        <v>Robotics space girls</v>
      </c>
      <c r="E26" s="79">
        <f>TeamsData!D57</f>
        <v>58</v>
      </c>
      <c r="F26" s="79">
        <f>TeamsData!E57</f>
        <v>77</v>
      </c>
      <c r="G26" s="79">
        <f>TeamsData!F57</f>
        <v>65</v>
      </c>
      <c r="H26" s="79">
        <f>TeamsData!G57</f>
      </c>
      <c r="I26" s="79">
        <f>TeamsData!H57</f>
      </c>
      <c r="J26" s="79">
        <f>TeamsData!I57</f>
      </c>
      <c r="K26" s="79">
        <f>TeamsData!J57</f>
      </c>
    </row>
    <row r="27" spans="1:11" ht="15.75" customHeight="1">
      <c r="A27" s="79">
        <f>IF(TeamsData!$N58=0,"",TeamsData!L58)</f>
        <v>25</v>
      </c>
      <c r="B27" s="80">
        <f>IF(TeamsData!$N58=0,"",TeamsData!K58)</f>
        <v>74</v>
      </c>
      <c r="C27" s="84">
        <f>TeamsData!A58</f>
        <v>15</v>
      </c>
      <c r="D27" s="81" t="str">
        <f>TeamsData!C58</f>
        <v>Nano-bugs</v>
      </c>
      <c r="E27" s="79">
        <f>TeamsData!D58</f>
        <v>54</v>
      </c>
      <c r="F27" s="79">
        <f>TeamsData!E58</f>
        <v>74</v>
      </c>
      <c r="G27" s="79">
        <f>TeamsData!F58</f>
        <v>61</v>
      </c>
      <c r="H27" s="79">
        <f>TeamsData!G58</f>
      </c>
      <c r="I27" s="79">
        <f>TeamsData!H58</f>
      </c>
      <c r="J27" s="79">
        <f>TeamsData!I58</f>
      </c>
      <c r="K27" s="79">
        <f>TeamsData!J58</f>
      </c>
    </row>
    <row r="28" spans="1:11" ht="15.75" customHeight="1">
      <c r="A28" s="79">
        <f>IF(TeamsData!$N59=0,"",TeamsData!L59)</f>
      </c>
      <c r="B28" s="80">
        <f>IF(TeamsData!$N59=0,"",TeamsData!K59)</f>
      </c>
      <c r="C28" s="84">
        <f>TeamsData!A59</f>
        <v>4</v>
      </c>
      <c r="D28" s="81" t="str">
        <f>TeamsData!C59</f>
        <v>-</v>
      </c>
      <c r="E28" s="79">
        <f>TeamsData!D59</f>
      </c>
      <c r="F28" s="79">
        <f>TeamsData!E59</f>
      </c>
      <c r="G28" s="79">
        <f>TeamsData!F59</f>
      </c>
      <c r="H28" s="79">
        <f>TeamsData!G59</f>
      </c>
      <c r="I28" s="79">
        <f>TeamsData!H59</f>
      </c>
      <c r="J28" s="79">
        <f>TeamsData!I59</f>
      </c>
      <c r="K28" s="79">
        <f>TeamsData!J59</f>
      </c>
    </row>
    <row r="29" spans="1:11" ht="15.75" customHeight="1">
      <c r="A29" s="79">
        <f>IF(TeamsData!$N60=0,"",TeamsData!L60)</f>
      </c>
      <c r="B29" s="80">
        <f>IF(TeamsData!$N60=0,"",TeamsData!K60)</f>
      </c>
      <c r="C29" s="84">
        <f>TeamsData!A60</f>
        <v>13</v>
      </c>
      <c r="D29" s="81" t="str">
        <f>TeamsData!C60</f>
        <v>-</v>
      </c>
      <c r="E29" s="79">
        <f>TeamsData!D60</f>
      </c>
      <c r="F29" s="79">
        <f>TeamsData!E60</f>
      </c>
      <c r="G29" s="79">
        <f>TeamsData!F60</f>
      </c>
      <c r="H29" s="79">
        <f>TeamsData!G60</f>
      </c>
      <c r="I29" s="79">
        <f>TeamsData!H60</f>
      </c>
      <c r="J29" s="79">
        <f>TeamsData!I60</f>
      </c>
      <c r="K29" s="79">
        <f>TeamsData!J60</f>
      </c>
    </row>
    <row r="30" spans="1:11" ht="15.75" customHeight="1">
      <c r="A30" s="79">
        <f>IF(TeamsData!$N61=0,"",TeamsData!L61)</f>
      </c>
      <c r="B30" s="80">
        <f>IF(TeamsData!$N61=0,"",TeamsData!K61)</f>
      </c>
      <c r="C30" s="84">
        <f>TeamsData!A61</f>
        <v>28</v>
      </c>
      <c r="D30" s="81" t="str">
        <f>TeamsData!C61</f>
        <v>-</v>
      </c>
      <c r="E30" s="79">
        <f>TeamsData!D61</f>
      </c>
      <c r="F30" s="79">
        <f>TeamsData!E61</f>
      </c>
      <c r="G30" s="79">
        <f>TeamsData!F61</f>
      </c>
      <c r="H30" s="79">
        <f>TeamsData!G61</f>
      </c>
      <c r="I30" s="79">
        <f>TeamsData!H61</f>
      </c>
      <c r="J30" s="79">
        <f>TeamsData!I61</f>
      </c>
      <c r="K30" s="79">
        <f>TeamsData!J61</f>
      </c>
    </row>
    <row r="31" spans="1:11" ht="15.75" customHeight="1">
      <c r="A31" s="79">
        <f>IF(TeamsData!$N62=0,"",TeamsData!L62)</f>
      </c>
      <c r="B31" s="80">
        <f>IF(TeamsData!$N62=0,"",TeamsData!K62)</f>
      </c>
      <c r="C31" s="84">
        <f>TeamsData!A62</f>
        <v>29</v>
      </c>
      <c r="D31" s="81" t="str">
        <f>TeamsData!C62</f>
        <v>-</v>
      </c>
      <c r="E31" s="79">
        <f>TeamsData!D62</f>
      </c>
      <c r="F31" s="79">
        <f>TeamsData!E62</f>
      </c>
      <c r="G31" s="79">
        <f>TeamsData!F62</f>
      </c>
      <c r="H31" s="79">
        <f>TeamsData!G62</f>
      </c>
      <c r="I31" s="79">
        <f>TeamsData!H62</f>
      </c>
      <c r="J31" s="79">
        <f>TeamsData!I62</f>
      </c>
      <c r="K31" s="79">
        <f>TeamsData!J62</f>
      </c>
    </row>
    <row r="32" spans="1:11" ht="15.75" customHeight="1">
      <c r="A32" s="79">
        <f>IF(TeamsData!$N63=0,"",TeamsData!L63)</f>
      </c>
      <c r="B32" s="80">
        <f>IF(TeamsData!$N63=0,"",TeamsData!K63)</f>
      </c>
      <c r="C32" s="84">
        <f>TeamsData!A63</f>
        <v>30</v>
      </c>
      <c r="D32" s="81" t="str">
        <f>TeamsData!C63</f>
        <v>-</v>
      </c>
      <c r="E32" s="79">
        <f>TeamsData!D63</f>
      </c>
      <c r="F32" s="79">
        <f>TeamsData!E63</f>
      </c>
      <c r="G32" s="79">
        <f>TeamsData!F63</f>
      </c>
      <c r="H32" s="79">
        <f>TeamsData!G63</f>
      </c>
      <c r="I32" s="79">
        <f>TeamsData!H63</f>
      </c>
      <c r="J32" s="79">
        <f>TeamsData!I63</f>
      </c>
      <c r="K32" s="79">
        <f>TeamsData!J63</f>
      </c>
    </row>
  </sheetData>
  <mergeCells count="3">
    <mergeCell ref="A1:A2"/>
    <mergeCell ref="C1:C2"/>
    <mergeCell ref="D1:D2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D6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7" sqref="O17"/>
    </sheetView>
  </sheetViews>
  <sheetFormatPr defaultColWidth="9.140625" defaultRowHeight="12.75"/>
  <cols>
    <col min="1" max="1" width="3.57421875" style="0" customWidth="1"/>
    <col min="3" max="3" width="28.8515625" style="0" customWidth="1"/>
    <col min="4" max="10" width="4.7109375" style="0" customWidth="1"/>
    <col min="11" max="11" width="5.140625" style="0" customWidth="1"/>
    <col min="12" max="12" width="5.7109375" style="0" customWidth="1"/>
    <col min="13" max="13" width="5.28125" style="0" customWidth="1"/>
    <col min="14" max="14" width="7.8515625" style="0" customWidth="1"/>
    <col min="15" max="15" width="8.140625" style="0" customWidth="1"/>
    <col min="16" max="16" width="8.00390625" style="0" customWidth="1"/>
    <col min="17" max="24" width="5.140625" style="0" customWidth="1"/>
    <col min="25" max="28" width="4.7109375" style="0" customWidth="1"/>
    <col min="29" max="29" width="13.00390625" style="0" bestFit="1" customWidth="1"/>
    <col min="30" max="30" width="15.00390625" style="0" bestFit="1" customWidth="1"/>
    <col min="31" max="32" width="5.57421875" style="0" bestFit="1" customWidth="1"/>
  </cols>
  <sheetData>
    <row r="1" spans="1:30" ht="12.75">
      <c r="A1" s="62" t="s">
        <v>57</v>
      </c>
      <c r="B1" s="62" t="s">
        <v>41</v>
      </c>
      <c r="C1" s="62" t="s">
        <v>42</v>
      </c>
      <c r="D1" s="62">
        <v>1</v>
      </c>
      <c r="E1" s="62">
        <v>2</v>
      </c>
      <c r="F1" s="62">
        <v>3</v>
      </c>
      <c r="G1" s="62">
        <v>4</v>
      </c>
      <c r="H1" s="62">
        <v>5</v>
      </c>
      <c r="I1" s="62">
        <v>6</v>
      </c>
      <c r="J1" s="62">
        <v>7</v>
      </c>
      <c r="K1" s="63" t="s">
        <v>58</v>
      </c>
      <c r="L1" s="64" t="s">
        <v>59</v>
      </c>
      <c r="M1" s="69" t="s">
        <v>60</v>
      </c>
      <c r="N1" s="69" t="s">
        <v>70</v>
      </c>
      <c r="Q1" s="9">
        <v>1</v>
      </c>
      <c r="R1" s="9">
        <v>2</v>
      </c>
      <c r="S1" s="9">
        <v>3</v>
      </c>
      <c r="T1" s="9">
        <v>4</v>
      </c>
      <c r="U1" s="9">
        <v>5</v>
      </c>
      <c r="V1" s="9">
        <v>6</v>
      </c>
      <c r="W1" s="9">
        <v>7</v>
      </c>
      <c r="X1" s="5">
        <v>1</v>
      </c>
      <c r="Y1" s="5">
        <v>2</v>
      </c>
      <c r="Z1" s="5">
        <v>3</v>
      </c>
      <c r="AA1" s="5">
        <v>4</v>
      </c>
      <c r="AB1" s="5">
        <v>8</v>
      </c>
      <c r="AC1" s="67" t="s">
        <v>62</v>
      </c>
      <c r="AD1" s="67" t="s">
        <v>61</v>
      </c>
    </row>
    <row r="2" spans="1:30" ht="12.75">
      <c r="A2" s="51">
        <f>Teams!A2</f>
        <v>1</v>
      </c>
      <c r="B2" s="51">
        <f>Teams!C2</f>
        <v>8947</v>
      </c>
      <c r="C2" s="51" t="str">
        <f>Teams!B2</f>
        <v>40 Loyola SAPlings</v>
      </c>
      <c r="D2" s="65">
        <f>IF(ISNA(Q2),"",Q2)</f>
        <v>103</v>
      </c>
      <c r="E2" s="65">
        <f aca="true" t="shared" si="0" ref="E2:J2">IF(ISNA(R2),"",R2)</f>
        <v>79</v>
      </c>
      <c r="F2" s="65">
        <f t="shared" si="0"/>
        <v>80</v>
      </c>
      <c r="G2" s="65">
        <f t="shared" si="0"/>
      </c>
      <c r="H2" s="65">
        <f t="shared" si="0"/>
      </c>
      <c r="I2" s="65">
        <f t="shared" si="0"/>
      </c>
      <c r="J2" s="65">
        <f t="shared" si="0"/>
      </c>
      <c r="K2" s="66">
        <f>MAX(D2:J2)</f>
        <v>103</v>
      </c>
      <c r="L2" s="51">
        <f>RANK(AC2,AC$2:AC$31)</f>
        <v>13</v>
      </c>
      <c r="M2" s="51">
        <f>RANK(AD2,AD$2:AD$31)</f>
        <v>13</v>
      </c>
      <c r="N2" s="51">
        <f>COUNT(D2:J2)</f>
        <v>3</v>
      </c>
      <c r="Q2">
        <f>INDEX('Score List'!$D$4:$D$197,MATCH($A2&amp;"R"&amp;Q$1,'Score List'!$T$4:$T$197,0),1)</f>
        <v>103</v>
      </c>
      <c r="R2">
        <f>INDEX('Score List'!$D$4:$D$197,MATCH($A2&amp;"R"&amp;R$1,'Score List'!$T$4:$T$197,0),1)</f>
        <v>79</v>
      </c>
      <c r="S2">
        <f>INDEX('Score List'!$D$4:$D$197,MATCH($A2&amp;"R"&amp;S$1,'Score List'!$T$4:$T$197,0),1)</f>
        <v>80</v>
      </c>
      <c r="T2" t="e">
        <f>INDEX('Score List'!$D$4:$D$197,MATCH($A2&amp;"R"&amp;T$1,'Score List'!$T$4:$T$197,0),1)</f>
        <v>#N/A</v>
      </c>
      <c r="U2" t="e">
        <f>INDEX('Score List'!$D$4:$D$197,MATCH($A2&amp;"R"&amp;U$1,'Score List'!$T$4:$T$197,0),1)</f>
        <v>#N/A</v>
      </c>
      <c r="V2" t="e">
        <f>INDEX('Score List'!$D$4:$D$197,MATCH($A2&amp;"R"&amp;V$1,'Score List'!$T$4:$T$197,0),1)</f>
        <v>#N/A</v>
      </c>
      <c r="W2" t="e">
        <f>INDEX('Score List'!$D$4:$D$197,MATCH($A2&amp;"R"&amp;W$1,'Score List'!$T$4:$T$197,0),1)</f>
        <v>#N/A</v>
      </c>
      <c r="X2" s="72" t="str">
        <f>TEXT(IF(COUNT($D2:$J2)&gt;=X$1,LARGE($D2:$J2,X$1),0),"000")</f>
        <v>103</v>
      </c>
      <c r="Y2" s="72" t="str">
        <f>TEXT(IF(COUNT($D2:$J2)&gt;=Y$1,LARGE($D2:$J2,Y$1),0),"000")</f>
        <v>080</v>
      </c>
      <c r="Z2" s="72" t="str">
        <f>TEXT(IF(COUNT($D2:$J2)&gt;=Z$1,LARGE($D2:$J2,Z$1),0),"000")</f>
        <v>079</v>
      </c>
      <c r="AA2" s="72" t="str">
        <f>TEXT(IF(COUNT($D2:$J2)&gt;=AA$1,LARGE($D2:$J2,AA$1),0),"000")</f>
        <v>000</v>
      </c>
      <c r="AB2" s="72" t="str">
        <f>TEXT(100-A2,"00")</f>
        <v>99</v>
      </c>
      <c r="AC2" s="73">
        <f>VALUE(X2&amp;Y2&amp;Z2&amp;AA2)</f>
        <v>103080079000</v>
      </c>
      <c r="AD2" s="73">
        <f>VALUE(X2&amp;Y2&amp;Z2&amp;AA2&amp;AB2)</f>
        <v>10308007900099</v>
      </c>
    </row>
    <row r="3" spans="1:30" ht="12.75">
      <c r="A3" s="51">
        <f>Teams!A3</f>
        <v>2</v>
      </c>
      <c r="B3" s="51">
        <f>Teams!C3</f>
        <v>6222</v>
      </c>
      <c r="C3" s="51" t="str">
        <f>Teams!B3</f>
        <v>Adroits</v>
      </c>
      <c r="D3" s="65">
        <f aca="true" t="shared" si="1" ref="D3:D30">IF(ISNA(Q3),"",Q3)</f>
        <v>70</v>
      </c>
      <c r="E3" s="65">
        <f aca="true" t="shared" si="2" ref="E3:E30">IF(ISNA(R3),"",R3)</f>
        <v>85</v>
      </c>
      <c r="F3" s="65">
        <f aca="true" t="shared" si="3" ref="F3:F30">IF(ISNA(S3),"",S3)</f>
        <v>112</v>
      </c>
      <c r="G3" s="65">
        <f aca="true" t="shared" si="4" ref="G3:G30">IF(ISNA(T3),"",T3)</f>
      </c>
      <c r="H3" s="65">
        <f aca="true" t="shared" si="5" ref="H3:H30">IF(ISNA(U3),"",U3)</f>
      </c>
      <c r="I3" s="65">
        <f aca="true" t="shared" si="6" ref="I3:I30">IF(ISNA(V3),"",V3)</f>
      </c>
      <c r="J3" s="65">
        <f aca="true" t="shared" si="7" ref="J3:J30">IF(ISNA(W3),"",W3)</f>
      </c>
      <c r="K3" s="66">
        <f aca="true" t="shared" si="8" ref="K3:K31">MAX(D3:J3)</f>
        <v>112</v>
      </c>
      <c r="L3" s="51">
        <f aca="true" t="shared" si="9" ref="L3:L31">RANK(AC3,AC$2:AC$31)</f>
        <v>8</v>
      </c>
      <c r="M3" s="51">
        <f aca="true" t="shared" si="10" ref="M3:M31">RANK(AD3,AD$2:AD$31)</f>
        <v>8</v>
      </c>
      <c r="N3" s="51">
        <f aca="true" t="shared" si="11" ref="N3:N31">COUNT(D3:J3)</f>
        <v>3</v>
      </c>
      <c r="Q3">
        <f>INDEX('Score List'!$D$4:$D$197,MATCH($A3&amp;"R"&amp;Q$1,'Score List'!$T$4:$T$197,0),1)</f>
        <v>70</v>
      </c>
      <c r="R3">
        <f>INDEX('Score List'!$D$4:$D$197,MATCH($A3&amp;"R"&amp;R$1,'Score List'!$T$4:$T$197,0),1)</f>
        <v>85</v>
      </c>
      <c r="S3">
        <f>INDEX('Score List'!$D$4:$D$197,MATCH($A3&amp;"R"&amp;S$1,'Score List'!$T$4:$T$197,0),1)</f>
        <v>112</v>
      </c>
      <c r="T3" t="e">
        <f>INDEX('Score List'!$D$4:$D$197,MATCH($A3&amp;"R"&amp;T$1,'Score List'!$T$4:$T$197,0),1)</f>
        <v>#N/A</v>
      </c>
      <c r="U3" t="e">
        <f>INDEX('Score List'!$D$4:$D$197,MATCH($A3&amp;"R"&amp;U$1,'Score List'!$T$4:$T$197,0),1)</f>
        <v>#N/A</v>
      </c>
      <c r="V3" t="e">
        <f>INDEX('Score List'!$D$4:$D$197,MATCH($A3&amp;"R"&amp;V$1,'Score List'!$T$4:$T$197,0),1)</f>
        <v>#N/A</v>
      </c>
      <c r="W3" t="e">
        <f>INDEX('Score List'!$D$4:$D$197,MATCH($A3&amp;"R"&amp;W$1,'Score List'!$T$4:$T$197,0),1)</f>
        <v>#N/A</v>
      </c>
      <c r="X3" s="72" t="str">
        <f aca="true" t="shared" si="12" ref="X3:AA31">TEXT(IF(COUNT($D3:$J3)&gt;=X$1,LARGE($D3:$J3,X$1),0),"000")</f>
        <v>112</v>
      </c>
      <c r="Y3" s="72" t="str">
        <f t="shared" si="12"/>
        <v>085</v>
      </c>
      <c r="Z3" s="72" t="str">
        <f t="shared" si="12"/>
        <v>070</v>
      </c>
      <c r="AA3" s="72" t="str">
        <f t="shared" si="12"/>
        <v>000</v>
      </c>
      <c r="AB3" s="72" t="str">
        <f aca="true" t="shared" si="13" ref="AB3:AB31">TEXT(100-A3,"00")</f>
        <v>98</v>
      </c>
      <c r="AC3" s="73">
        <f aca="true" t="shared" si="14" ref="AC3:AC31">VALUE(X3&amp;Y3&amp;Z3&amp;AA3)</f>
        <v>112085070000</v>
      </c>
      <c r="AD3" s="73">
        <f aca="true" t="shared" si="15" ref="AD3:AD31">VALUE(X3&amp;Y3&amp;Z3&amp;AA3&amp;AB3)</f>
        <v>11208507000098</v>
      </c>
    </row>
    <row r="4" spans="1:30" ht="12.75">
      <c r="A4" s="51">
        <f>Teams!A4</f>
        <v>3</v>
      </c>
      <c r="B4" s="51">
        <f>Teams!C4</f>
        <v>5536</v>
      </c>
      <c r="C4" s="51" t="str">
        <f>Teams!B4</f>
        <v>Eaglebots</v>
      </c>
      <c r="D4" s="65">
        <f t="shared" si="1"/>
        <v>85</v>
      </c>
      <c r="E4" s="65">
        <f t="shared" si="2"/>
        <v>185</v>
      </c>
      <c r="F4" s="65">
        <f t="shared" si="3"/>
        <v>175</v>
      </c>
      <c r="G4" s="65">
        <f t="shared" si="4"/>
      </c>
      <c r="H4" s="65">
        <f t="shared" si="5"/>
      </c>
      <c r="I4" s="65">
        <f t="shared" si="6"/>
      </c>
      <c r="J4" s="65">
        <f t="shared" si="7"/>
      </c>
      <c r="K4" s="66">
        <f t="shared" si="8"/>
        <v>185</v>
      </c>
      <c r="L4" s="51">
        <f t="shared" si="9"/>
        <v>1</v>
      </c>
      <c r="M4" s="51">
        <f t="shared" si="10"/>
        <v>1</v>
      </c>
      <c r="N4" s="51">
        <f t="shared" si="11"/>
        <v>3</v>
      </c>
      <c r="Q4">
        <f>INDEX('Score List'!$D$4:$D$197,MATCH($A4&amp;"R"&amp;Q$1,'Score List'!$T$4:$T$197,0),1)</f>
        <v>85</v>
      </c>
      <c r="R4">
        <f>INDEX('Score List'!$D$4:$D$197,MATCH($A4&amp;"R"&amp;R$1,'Score List'!$T$4:$T$197,0),1)</f>
        <v>185</v>
      </c>
      <c r="S4">
        <f>INDEX('Score List'!$D$4:$D$197,MATCH($A4&amp;"R"&amp;S$1,'Score List'!$T$4:$T$197,0),1)</f>
        <v>175</v>
      </c>
      <c r="T4" t="e">
        <f>INDEX('Score List'!$D$4:$D$197,MATCH($A4&amp;"R"&amp;T$1,'Score List'!$T$4:$T$197,0),1)</f>
        <v>#N/A</v>
      </c>
      <c r="U4" t="e">
        <f>INDEX('Score List'!$D$4:$D$197,MATCH($A4&amp;"R"&amp;U$1,'Score List'!$T$4:$T$197,0),1)</f>
        <v>#N/A</v>
      </c>
      <c r="V4" t="e">
        <f>INDEX('Score List'!$D$4:$D$197,MATCH($A4&amp;"R"&amp;V$1,'Score List'!$T$4:$T$197,0),1)</f>
        <v>#N/A</v>
      </c>
      <c r="W4" t="e">
        <f>INDEX('Score List'!$D$4:$D$197,MATCH($A4&amp;"R"&amp;W$1,'Score List'!$T$4:$T$197,0),1)</f>
        <v>#N/A</v>
      </c>
      <c r="X4" s="72" t="str">
        <f t="shared" si="12"/>
        <v>185</v>
      </c>
      <c r="Y4" s="72" t="str">
        <f t="shared" si="12"/>
        <v>175</v>
      </c>
      <c r="Z4" s="72" t="str">
        <f t="shared" si="12"/>
        <v>085</v>
      </c>
      <c r="AA4" s="72" t="str">
        <f t="shared" si="12"/>
        <v>000</v>
      </c>
      <c r="AB4" s="72" t="str">
        <f t="shared" si="13"/>
        <v>97</v>
      </c>
      <c r="AC4" s="73">
        <f t="shared" si="14"/>
        <v>185175085000</v>
      </c>
      <c r="AD4" s="73">
        <f t="shared" si="15"/>
        <v>18517508500097</v>
      </c>
    </row>
    <row r="5" spans="1:30" ht="12.75">
      <c r="A5" s="51">
        <f>Teams!A5</f>
        <v>4</v>
      </c>
      <c r="B5" s="51">
        <f>Teams!C5</f>
        <v>0</v>
      </c>
      <c r="C5" s="51" t="str">
        <f>Teams!B5</f>
        <v>-</v>
      </c>
      <c r="D5" s="65">
        <f t="shared" si="1"/>
      </c>
      <c r="E5" s="65">
        <f t="shared" si="2"/>
      </c>
      <c r="F5" s="65">
        <f t="shared" si="3"/>
      </c>
      <c r="G5" s="65">
        <f t="shared" si="4"/>
      </c>
      <c r="H5" s="65">
        <f t="shared" si="5"/>
      </c>
      <c r="I5" s="65">
        <f t="shared" si="6"/>
      </c>
      <c r="J5" s="65">
        <f t="shared" si="7"/>
      </c>
      <c r="K5" s="66">
        <f t="shared" si="8"/>
        <v>0</v>
      </c>
      <c r="L5" s="51">
        <f t="shared" si="9"/>
        <v>26</v>
      </c>
      <c r="M5" s="51">
        <f t="shared" si="10"/>
        <v>26</v>
      </c>
      <c r="N5" s="51">
        <f t="shared" si="11"/>
        <v>0</v>
      </c>
      <c r="Q5" t="e">
        <f>INDEX('Score List'!$D$4:$D$197,MATCH($A5&amp;"R"&amp;Q$1,'Score List'!$T$4:$T$197,0),1)</f>
        <v>#N/A</v>
      </c>
      <c r="R5" t="e">
        <f>INDEX('Score List'!$D$4:$D$197,MATCH($A5&amp;"R"&amp;R$1,'Score List'!$T$4:$T$197,0),1)</f>
        <v>#N/A</v>
      </c>
      <c r="S5" t="e">
        <f>INDEX('Score List'!$D$4:$D$197,MATCH($A5&amp;"R"&amp;S$1,'Score List'!$T$4:$T$197,0),1)</f>
        <v>#N/A</v>
      </c>
      <c r="T5" t="e">
        <f>INDEX('Score List'!$D$4:$D$197,MATCH($A5&amp;"R"&amp;T$1,'Score List'!$T$4:$T$197,0),1)</f>
        <v>#N/A</v>
      </c>
      <c r="U5" t="e">
        <f>INDEX('Score List'!$D$4:$D$197,MATCH($A5&amp;"R"&amp;U$1,'Score List'!$T$4:$T$197,0),1)</f>
        <v>#N/A</v>
      </c>
      <c r="V5" t="e">
        <f>INDEX('Score List'!$D$4:$D$197,MATCH($A5&amp;"R"&amp;V$1,'Score List'!$T$4:$T$197,0),1)</f>
        <v>#N/A</v>
      </c>
      <c r="W5" t="e">
        <f>INDEX('Score List'!$D$4:$D$197,MATCH($A5&amp;"R"&amp;W$1,'Score List'!$T$4:$T$197,0),1)</f>
        <v>#N/A</v>
      </c>
      <c r="X5" s="72" t="str">
        <f t="shared" si="12"/>
        <v>000</v>
      </c>
      <c r="Y5" s="72" t="str">
        <f t="shared" si="12"/>
        <v>000</v>
      </c>
      <c r="Z5" s="72" t="str">
        <f t="shared" si="12"/>
        <v>000</v>
      </c>
      <c r="AA5" s="72" t="str">
        <f t="shared" si="12"/>
        <v>000</v>
      </c>
      <c r="AB5" s="72" t="str">
        <f t="shared" si="13"/>
        <v>96</v>
      </c>
      <c r="AC5" s="73">
        <f t="shared" si="14"/>
        <v>0</v>
      </c>
      <c r="AD5" s="73">
        <f t="shared" si="15"/>
        <v>96</v>
      </c>
    </row>
    <row r="6" spans="1:30" ht="12.75">
      <c r="A6" s="51">
        <f>Teams!A6</f>
        <v>5</v>
      </c>
      <c r="B6" s="51">
        <f>Teams!C6</f>
        <v>2206</v>
      </c>
      <c r="C6" s="51" t="str">
        <f>Teams!B6</f>
        <v>Gutbusters</v>
      </c>
      <c r="D6" s="65">
        <f t="shared" si="1"/>
        <v>74</v>
      </c>
      <c r="E6" s="65">
        <f t="shared" si="2"/>
        <v>87</v>
      </c>
      <c r="F6" s="65">
        <f t="shared" si="3"/>
        <v>126</v>
      </c>
      <c r="G6" s="65">
        <f t="shared" si="4"/>
        <v>128</v>
      </c>
      <c r="H6" s="65">
        <f t="shared" si="5"/>
      </c>
      <c r="I6" s="65">
        <f t="shared" si="6"/>
      </c>
      <c r="J6" s="65">
        <f t="shared" si="7"/>
      </c>
      <c r="K6" s="66">
        <f t="shared" si="8"/>
        <v>128</v>
      </c>
      <c r="L6" s="51">
        <f t="shared" si="9"/>
        <v>5</v>
      </c>
      <c r="M6" s="51">
        <f t="shared" si="10"/>
        <v>5</v>
      </c>
      <c r="N6" s="51">
        <f t="shared" si="11"/>
        <v>4</v>
      </c>
      <c r="Q6">
        <f>INDEX('Score List'!$D$4:$D$197,MATCH($A6&amp;"R"&amp;Q$1,'Score List'!$T$4:$T$197,0),1)</f>
        <v>74</v>
      </c>
      <c r="R6">
        <f>INDEX('Score List'!$D$4:$D$197,MATCH($A6&amp;"R"&amp;R$1,'Score List'!$T$4:$T$197,0),1)</f>
        <v>87</v>
      </c>
      <c r="S6">
        <f>INDEX('Score List'!$D$4:$D$197,MATCH($A6&amp;"R"&amp;S$1,'Score List'!$T$4:$T$197,0),1)</f>
        <v>126</v>
      </c>
      <c r="T6">
        <f>INDEX('Score List'!$D$4:$D$197,MATCH($A6&amp;"R"&amp;T$1,'Score List'!$T$4:$T$197,0),1)</f>
        <v>128</v>
      </c>
      <c r="U6" t="e">
        <f>INDEX('Score List'!$D$4:$D$197,MATCH($A6&amp;"R"&amp;U$1,'Score List'!$T$4:$T$197,0),1)</f>
        <v>#N/A</v>
      </c>
      <c r="V6" t="e">
        <f>INDEX('Score List'!$D$4:$D$197,MATCH($A6&amp;"R"&amp;V$1,'Score List'!$T$4:$T$197,0),1)</f>
        <v>#N/A</v>
      </c>
      <c r="W6" t="e">
        <f>INDEX('Score List'!$D$4:$D$197,MATCH($A6&amp;"R"&amp;W$1,'Score List'!$T$4:$T$197,0),1)</f>
        <v>#N/A</v>
      </c>
      <c r="X6" s="72" t="str">
        <f t="shared" si="12"/>
        <v>128</v>
      </c>
      <c r="Y6" s="72" t="str">
        <f t="shared" si="12"/>
        <v>126</v>
      </c>
      <c r="Z6" s="72" t="str">
        <f t="shared" si="12"/>
        <v>087</v>
      </c>
      <c r="AA6" s="72" t="str">
        <f t="shared" si="12"/>
        <v>074</v>
      </c>
      <c r="AB6" s="72" t="str">
        <f t="shared" si="13"/>
        <v>95</v>
      </c>
      <c r="AC6" s="73">
        <f t="shared" si="14"/>
        <v>128126087074</v>
      </c>
      <c r="AD6" s="73">
        <f t="shared" si="15"/>
        <v>12812608707495</v>
      </c>
    </row>
    <row r="7" spans="1:30" ht="12.75">
      <c r="A7" s="51">
        <f>Teams!A7</f>
        <v>6</v>
      </c>
      <c r="B7" s="51">
        <f>Teams!C7</f>
        <v>3927</v>
      </c>
      <c r="C7" s="51" t="str">
        <f>Teams!B7</f>
        <v>Hazardous Waste</v>
      </c>
      <c r="D7" s="65">
        <f t="shared" si="1"/>
        <v>93</v>
      </c>
      <c r="E7" s="65">
        <f t="shared" si="2"/>
        <v>64</v>
      </c>
      <c r="F7" s="65">
        <f t="shared" si="3"/>
        <v>80</v>
      </c>
      <c r="G7" s="65">
        <f t="shared" si="4"/>
      </c>
      <c r="H7" s="65">
        <f t="shared" si="5"/>
      </c>
      <c r="I7" s="65">
        <f t="shared" si="6"/>
      </c>
      <c r="J7" s="65">
        <f t="shared" si="7"/>
      </c>
      <c r="K7" s="66">
        <f t="shared" si="8"/>
        <v>93</v>
      </c>
      <c r="L7" s="51">
        <f t="shared" si="9"/>
        <v>20</v>
      </c>
      <c r="M7" s="51">
        <f t="shared" si="10"/>
        <v>20</v>
      </c>
      <c r="N7" s="51">
        <f t="shared" si="11"/>
        <v>3</v>
      </c>
      <c r="Q7">
        <f>INDEX('Score List'!$D$4:$D$197,MATCH($A7&amp;"R"&amp;Q$1,'Score List'!$T$4:$T$197,0),1)</f>
        <v>93</v>
      </c>
      <c r="R7">
        <f>INDEX('Score List'!$D$4:$D$197,MATCH($A7&amp;"R"&amp;R$1,'Score List'!$T$4:$T$197,0),1)</f>
        <v>64</v>
      </c>
      <c r="S7">
        <f>INDEX('Score List'!$D$4:$D$197,MATCH($A7&amp;"R"&amp;S$1,'Score List'!$T$4:$T$197,0),1)</f>
        <v>80</v>
      </c>
      <c r="T7" t="e">
        <f>INDEX('Score List'!$D$4:$D$197,MATCH($A7&amp;"R"&amp;T$1,'Score List'!$T$4:$T$197,0),1)</f>
        <v>#N/A</v>
      </c>
      <c r="U7" t="e">
        <f>INDEX('Score List'!$D$4:$D$197,MATCH($A7&amp;"R"&amp;U$1,'Score List'!$T$4:$T$197,0),1)</f>
        <v>#N/A</v>
      </c>
      <c r="V7" t="e">
        <f>INDEX('Score List'!$D$4:$D$197,MATCH($A7&amp;"R"&amp;V$1,'Score List'!$T$4:$T$197,0),1)</f>
        <v>#N/A</v>
      </c>
      <c r="W7" t="e">
        <f>INDEX('Score List'!$D$4:$D$197,MATCH($A7&amp;"R"&amp;W$1,'Score List'!$T$4:$T$197,0),1)</f>
        <v>#N/A</v>
      </c>
      <c r="X7" s="72" t="str">
        <f t="shared" si="12"/>
        <v>093</v>
      </c>
      <c r="Y7" s="72" t="str">
        <f t="shared" si="12"/>
        <v>080</v>
      </c>
      <c r="Z7" s="72" t="str">
        <f t="shared" si="12"/>
        <v>064</v>
      </c>
      <c r="AA7" s="72" t="str">
        <f t="shared" si="12"/>
        <v>000</v>
      </c>
      <c r="AB7" s="72" t="str">
        <f t="shared" si="13"/>
        <v>94</v>
      </c>
      <c r="AC7" s="73">
        <f t="shared" si="14"/>
        <v>93080064000</v>
      </c>
      <c r="AD7" s="73">
        <f t="shared" si="15"/>
        <v>9308006400094</v>
      </c>
    </row>
    <row r="8" spans="1:30" ht="12.75">
      <c r="A8" s="51">
        <f>Teams!A8</f>
        <v>7</v>
      </c>
      <c r="B8" s="51">
        <f>Teams!C8</f>
        <v>7699</v>
      </c>
      <c r="C8" s="51" t="str">
        <f>Teams!B8</f>
        <v>JOACK</v>
      </c>
      <c r="D8" s="65">
        <f t="shared" si="1"/>
        <v>82</v>
      </c>
      <c r="E8" s="65">
        <f t="shared" si="2"/>
        <v>132</v>
      </c>
      <c r="F8" s="65">
        <f t="shared" si="3"/>
        <v>109</v>
      </c>
      <c r="G8" s="65">
        <f t="shared" si="4"/>
      </c>
      <c r="H8" s="65">
        <f t="shared" si="5"/>
      </c>
      <c r="I8" s="65">
        <f t="shared" si="6"/>
      </c>
      <c r="J8" s="65">
        <f t="shared" si="7"/>
      </c>
      <c r="K8" s="66">
        <f t="shared" si="8"/>
        <v>132</v>
      </c>
      <c r="L8" s="51">
        <f t="shared" si="9"/>
        <v>4</v>
      </c>
      <c r="M8" s="51">
        <f t="shared" si="10"/>
        <v>4</v>
      </c>
      <c r="N8" s="51">
        <f t="shared" si="11"/>
        <v>3</v>
      </c>
      <c r="Q8">
        <f>INDEX('Score List'!$D$4:$D$197,MATCH($A8&amp;"R"&amp;Q$1,'Score List'!$T$4:$T$197,0),1)</f>
        <v>82</v>
      </c>
      <c r="R8">
        <f>INDEX('Score List'!$D$4:$D$197,MATCH($A8&amp;"R"&amp;R$1,'Score List'!$T$4:$T$197,0),1)</f>
        <v>132</v>
      </c>
      <c r="S8">
        <f>INDEX('Score List'!$D$4:$D$197,MATCH($A8&amp;"R"&amp;S$1,'Score List'!$T$4:$T$197,0),1)</f>
        <v>109</v>
      </c>
      <c r="T8" t="e">
        <f>INDEX('Score List'!$D$4:$D$197,MATCH($A8&amp;"R"&amp;T$1,'Score List'!$T$4:$T$197,0),1)</f>
        <v>#N/A</v>
      </c>
      <c r="U8" t="e">
        <f>INDEX('Score List'!$D$4:$D$197,MATCH($A8&amp;"R"&amp;U$1,'Score List'!$T$4:$T$197,0),1)</f>
        <v>#N/A</v>
      </c>
      <c r="V8" t="e">
        <f>INDEX('Score List'!$D$4:$D$197,MATCH($A8&amp;"R"&amp;V$1,'Score List'!$T$4:$T$197,0),1)</f>
        <v>#N/A</v>
      </c>
      <c r="W8" t="e">
        <f>INDEX('Score List'!$D$4:$D$197,MATCH($A8&amp;"R"&amp;W$1,'Score List'!$T$4:$T$197,0),1)</f>
        <v>#N/A</v>
      </c>
      <c r="X8" s="72" t="str">
        <f t="shared" si="12"/>
        <v>132</v>
      </c>
      <c r="Y8" s="72" t="str">
        <f t="shared" si="12"/>
        <v>109</v>
      </c>
      <c r="Z8" s="72" t="str">
        <f t="shared" si="12"/>
        <v>082</v>
      </c>
      <c r="AA8" s="72" t="str">
        <f t="shared" si="12"/>
        <v>000</v>
      </c>
      <c r="AB8" s="72" t="str">
        <f t="shared" si="13"/>
        <v>93</v>
      </c>
      <c r="AC8" s="73">
        <f t="shared" si="14"/>
        <v>132109082000</v>
      </c>
      <c r="AD8" s="73">
        <f t="shared" si="15"/>
        <v>13210908200093</v>
      </c>
    </row>
    <row r="9" spans="1:30" ht="12.75">
      <c r="A9" s="51">
        <f>Teams!A9</f>
        <v>8</v>
      </c>
      <c r="B9" s="51">
        <f>Teams!C9</f>
        <v>6373</v>
      </c>
      <c r="C9" s="51" t="str">
        <f>Teams!B9</f>
        <v>Kung Food</v>
      </c>
      <c r="D9" s="65">
        <f t="shared" si="1"/>
        <v>82</v>
      </c>
      <c r="E9" s="65">
        <f t="shared" si="2"/>
        <v>97</v>
      </c>
      <c r="F9" s="65">
        <f t="shared" si="3"/>
        <v>91</v>
      </c>
      <c r="G9" s="65">
        <f t="shared" si="4"/>
      </c>
      <c r="H9" s="65">
        <f t="shared" si="5"/>
      </c>
      <c r="I9" s="65">
        <f t="shared" si="6"/>
      </c>
      <c r="J9" s="65">
        <f t="shared" si="7"/>
      </c>
      <c r="K9" s="66">
        <f t="shared" si="8"/>
        <v>97</v>
      </c>
      <c r="L9" s="51">
        <f t="shared" si="9"/>
        <v>16</v>
      </c>
      <c r="M9" s="51">
        <f t="shared" si="10"/>
        <v>16</v>
      </c>
      <c r="N9" s="51">
        <f t="shared" si="11"/>
        <v>3</v>
      </c>
      <c r="Q9">
        <f>INDEX('Score List'!$D$4:$D$197,MATCH($A9&amp;"R"&amp;Q$1,'Score List'!$T$4:$T$197,0),1)</f>
        <v>82</v>
      </c>
      <c r="R9">
        <f>INDEX('Score List'!$D$4:$D$197,MATCH($A9&amp;"R"&amp;R$1,'Score List'!$T$4:$T$197,0),1)</f>
        <v>97</v>
      </c>
      <c r="S9">
        <f>INDEX('Score List'!$D$4:$D$197,MATCH($A9&amp;"R"&amp;S$1,'Score List'!$T$4:$T$197,0),1)</f>
        <v>91</v>
      </c>
      <c r="T9" t="e">
        <f>INDEX('Score List'!$D$4:$D$197,MATCH($A9&amp;"R"&amp;T$1,'Score List'!$T$4:$T$197,0),1)</f>
        <v>#N/A</v>
      </c>
      <c r="U9" t="e">
        <f>INDEX('Score List'!$D$4:$D$197,MATCH($A9&amp;"R"&amp;U$1,'Score List'!$T$4:$T$197,0),1)</f>
        <v>#N/A</v>
      </c>
      <c r="V9" t="e">
        <f>INDEX('Score List'!$D$4:$D$197,MATCH($A9&amp;"R"&amp;V$1,'Score List'!$T$4:$T$197,0),1)</f>
        <v>#N/A</v>
      </c>
      <c r="W9" t="e">
        <f>INDEX('Score List'!$D$4:$D$197,MATCH($A9&amp;"R"&amp;W$1,'Score List'!$T$4:$T$197,0),1)</f>
        <v>#N/A</v>
      </c>
      <c r="X9" s="72" t="str">
        <f t="shared" si="12"/>
        <v>097</v>
      </c>
      <c r="Y9" s="72" t="str">
        <f t="shared" si="12"/>
        <v>091</v>
      </c>
      <c r="Z9" s="72" t="str">
        <f t="shared" si="12"/>
        <v>082</v>
      </c>
      <c r="AA9" s="72" t="str">
        <f t="shared" si="12"/>
        <v>000</v>
      </c>
      <c r="AB9" s="72" t="str">
        <f t="shared" si="13"/>
        <v>92</v>
      </c>
      <c r="AC9" s="73">
        <f t="shared" si="14"/>
        <v>97091082000</v>
      </c>
      <c r="AD9" s="73">
        <f t="shared" si="15"/>
        <v>9709108200092</v>
      </c>
    </row>
    <row r="10" spans="1:30" ht="12.75">
      <c r="A10" s="51">
        <f>Teams!A10</f>
        <v>9</v>
      </c>
      <c r="B10" s="51">
        <f>Teams!C10</f>
        <v>6996</v>
      </c>
      <c r="C10" s="51" t="str">
        <f>Teams!B10</f>
        <v>Lego Lightning</v>
      </c>
      <c r="D10" s="65">
        <f t="shared" si="1"/>
        <v>107</v>
      </c>
      <c r="E10" s="65">
        <f t="shared" si="2"/>
        <v>81</v>
      </c>
      <c r="F10" s="65">
        <f t="shared" si="3"/>
        <v>100</v>
      </c>
      <c r="G10" s="65">
        <f t="shared" si="4"/>
      </c>
      <c r="H10" s="65">
        <f t="shared" si="5"/>
      </c>
      <c r="I10" s="65">
        <f t="shared" si="6"/>
      </c>
      <c r="J10" s="65">
        <f t="shared" si="7"/>
      </c>
      <c r="K10" s="66">
        <f t="shared" si="8"/>
        <v>107</v>
      </c>
      <c r="L10" s="51">
        <f t="shared" si="9"/>
        <v>12</v>
      </c>
      <c r="M10" s="51">
        <f t="shared" si="10"/>
        <v>12</v>
      </c>
      <c r="N10" s="51">
        <f t="shared" si="11"/>
        <v>3</v>
      </c>
      <c r="Q10">
        <f>INDEX('Score List'!$D$4:$D$197,MATCH($A10&amp;"R"&amp;Q$1,'Score List'!$T$4:$T$197,0),1)</f>
        <v>107</v>
      </c>
      <c r="R10">
        <f>INDEX('Score List'!$D$4:$D$197,MATCH($A10&amp;"R"&amp;R$1,'Score List'!$T$4:$T$197,0),1)</f>
        <v>81</v>
      </c>
      <c r="S10">
        <f>INDEX('Score List'!$D$4:$D$197,MATCH($A10&amp;"R"&amp;S$1,'Score List'!$T$4:$T$197,0),1)</f>
        <v>100</v>
      </c>
      <c r="T10" t="e">
        <f>INDEX('Score List'!$D$4:$D$197,MATCH($A10&amp;"R"&amp;T$1,'Score List'!$T$4:$T$197,0),1)</f>
        <v>#N/A</v>
      </c>
      <c r="U10" t="e">
        <f>INDEX('Score List'!$D$4:$D$197,MATCH($A10&amp;"R"&amp;U$1,'Score List'!$T$4:$T$197,0),1)</f>
        <v>#N/A</v>
      </c>
      <c r="V10" t="e">
        <f>INDEX('Score List'!$D$4:$D$197,MATCH($A10&amp;"R"&amp;V$1,'Score List'!$T$4:$T$197,0),1)</f>
        <v>#N/A</v>
      </c>
      <c r="W10" t="e">
        <f>INDEX('Score List'!$D$4:$D$197,MATCH($A10&amp;"R"&amp;W$1,'Score List'!$T$4:$T$197,0),1)</f>
        <v>#N/A</v>
      </c>
      <c r="X10" s="72" t="str">
        <f t="shared" si="12"/>
        <v>107</v>
      </c>
      <c r="Y10" s="72" t="str">
        <f t="shared" si="12"/>
        <v>100</v>
      </c>
      <c r="Z10" s="72" t="str">
        <f t="shared" si="12"/>
        <v>081</v>
      </c>
      <c r="AA10" s="72" t="str">
        <f t="shared" si="12"/>
        <v>000</v>
      </c>
      <c r="AB10" s="72" t="str">
        <f t="shared" si="13"/>
        <v>91</v>
      </c>
      <c r="AC10" s="73">
        <f t="shared" si="14"/>
        <v>107100081000</v>
      </c>
      <c r="AD10" s="73">
        <f t="shared" si="15"/>
        <v>10710008100091</v>
      </c>
    </row>
    <row r="11" spans="1:30" ht="12.75">
      <c r="A11" s="51">
        <f>Teams!A11</f>
        <v>10</v>
      </c>
      <c r="B11" s="51">
        <f>Teams!C11</f>
        <v>6134</v>
      </c>
      <c r="C11" s="51" t="str">
        <f>Teams!B11</f>
        <v>Lightning Bots</v>
      </c>
      <c r="D11" s="65">
        <f t="shared" si="1"/>
        <v>124</v>
      </c>
      <c r="E11" s="65">
        <f t="shared" si="2"/>
        <v>114</v>
      </c>
      <c r="F11" s="65">
        <f t="shared" si="3"/>
        <v>120</v>
      </c>
      <c r="G11" s="65">
        <f t="shared" si="4"/>
        <v>111</v>
      </c>
      <c r="H11" s="65">
        <f t="shared" si="5"/>
      </c>
      <c r="I11" s="65">
        <f t="shared" si="6"/>
      </c>
      <c r="J11" s="65">
        <f t="shared" si="7"/>
      </c>
      <c r="K11" s="66">
        <f t="shared" si="8"/>
        <v>124</v>
      </c>
      <c r="L11" s="51">
        <f t="shared" si="9"/>
        <v>6</v>
      </c>
      <c r="M11" s="51">
        <f t="shared" si="10"/>
        <v>6</v>
      </c>
      <c r="N11" s="51">
        <f t="shared" si="11"/>
        <v>4</v>
      </c>
      <c r="Q11">
        <f>INDEX('Score List'!$D$4:$D$197,MATCH($A11&amp;"R"&amp;Q$1,'Score List'!$T$4:$T$197,0),1)</f>
        <v>124</v>
      </c>
      <c r="R11">
        <f>INDEX('Score List'!$D$4:$D$197,MATCH($A11&amp;"R"&amp;R$1,'Score List'!$T$4:$T$197,0),1)</f>
        <v>114</v>
      </c>
      <c r="S11">
        <f>INDEX('Score List'!$D$4:$D$197,MATCH($A11&amp;"R"&amp;S$1,'Score List'!$T$4:$T$197,0),1)</f>
        <v>120</v>
      </c>
      <c r="T11">
        <f>INDEX('Score List'!$D$4:$D$197,MATCH($A11&amp;"R"&amp;T$1,'Score List'!$T$4:$T$197,0),1)</f>
        <v>111</v>
      </c>
      <c r="U11" t="e">
        <f>INDEX('Score List'!$D$4:$D$197,MATCH($A11&amp;"R"&amp;U$1,'Score List'!$T$4:$T$197,0),1)</f>
        <v>#N/A</v>
      </c>
      <c r="V11" t="e">
        <f>INDEX('Score List'!$D$4:$D$197,MATCH($A11&amp;"R"&amp;V$1,'Score List'!$T$4:$T$197,0),1)</f>
        <v>#N/A</v>
      </c>
      <c r="W11" t="e">
        <f>INDEX('Score List'!$D$4:$D$197,MATCH($A11&amp;"R"&amp;W$1,'Score List'!$T$4:$T$197,0),1)</f>
        <v>#N/A</v>
      </c>
      <c r="X11" s="72" t="str">
        <f t="shared" si="12"/>
        <v>124</v>
      </c>
      <c r="Y11" s="72" t="str">
        <f t="shared" si="12"/>
        <v>120</v>
      </c>
      <c r="Z11" s="72" t="str">
        <f t="shared" si="12"/>
        <v>114</v>
      </c>
      <c r="AA11" s="72" t="str">
        <f t="shared" si="12"/>
        <v>111</v>
      </c>
      <c r="AB11" s="72" t="str">
        <f t="shared" si="13"/>
        <v>90</v>
      </c>
      <c r="AC11" s="73">
        <f t="shared" si="14"/>
        <v>124120114111</v>
      </c>
      <c r="AD11" s="73">
        <f t="shared" si="15"/>
        <v>12412011411190</v>
      </c>
    </row>
    <row r="12" spans="1:30" ht="12.75">
      <c r="A12" s="51">
        <f>Teams!A12</f>
        <v>11</v>
      </c>
      <c r="B12" s="51">
        <f>Teams!C12</f>
        <v>3583</v>
      </c>
      <c r="C12" s="51" t="str">
        <f>Teams!B12</f>
        <v>Mat Scientists</v>
      </c>
      <c r="D12" s="65">
        <f t="shared" si="1"/>
        <v>87</v>
      </c>
      <c r="E12" s="65">
        <f t="shared" si="2"/>
        <v>82</v>
      </c>
      <c r="F12" s="65">
        <f t="shared" si="3"/>
        <v>89</v>
      </c>
      <c r="G12" s="65">
        <f t="shared" si="4"/>
      </c>
      <c r="H12" s="65">
        <f t="shared" si="5"/>
      </c>
      <c r="I12" s="65">
        <f t="shared" si="6"/>
      </c>
      <c r="J12" s="65">
        <f t="shared" si="7"/>
      </c>
      <c r="K12" s="66">
        <f t="shared" si="8"/>
        <v>89</v>
      </c>
      <c r="L12" s="51">
        <f t="shared" si="9"/>
        <v>21</v>
      </c>
      <c r="M12" s="51">
        <f t="shared" si="10"/>
        <v>21</v>
      </c>
      <c r="N12" s="51">
        <f t="shared" si="11"/>
        <v>3</v>
      </c>
      <c r="Q12">
        <f>INDEX('Score List'!$D$4:$D$197,MATCH($A12&amp;"R"&amp;Q$1,'Score List'!$T$4:$T$197,0),1)</f>
        <v>87</v>
      </c>
      <c r="R12">
        <f>INDEX('Score List'!$D$4:$D$197,MATCH($A12&amp;"R"&amp;R$1,'Score List'!$T$4:$T$197,0),1)</f>
        <v>82</v>
      </c>
      <c r="S12">
        <f>INDEX('Score List'!$D$4:$D$197,MATCH($A12&amp;"R"&amp;S$1,'Score List'!$T$4:$T$197,0),1)</f>
        <v>89</v>
      </c>
      <c r="T12" t="e">
        <f>INDEX('Score List'!$D$4:$D$197,MATCH($A12&amp;"R"&amp;T$1,'Score List'!$T$4:$T$197,0),1)</f>
        <v>#N/A</v>
      </c>
      <c r="U12" t="e">
        <f>INDEX('Score List'!$D$4:$D$197,MATCH($A12&amp;"R"&amp;U$1,'Score List'!$T$4:$T$197,0),1)</f>
        <v>#N/A</v>
      </c>
      <c r="V12" t="e">
        <f>INDEX('Score List'!$D$4:$D$197,MATCH($A12&amp;"R"&amp;V$1,'Score List'!$T$4:$T$197,0),1)</f>
        <v>#N/A</v>
      </c>
      <c r="W12" t="e">
        <f>INDEX('Score List'!$D$4:$D$197,MATCH($A12&amp;"R"&amp;W$1,'Score List'!$T$4:$T$197,0),1)</f>
        <v>#N/A</v>
      </c>
      <c r="X12" s="72" t="str">
        <f t="shared" si="12"/>
        <v>089</v>
      </c>
      <c r="Y12" s="72" t="str">
        <f t="shared" si="12"/>
        <v>087</v>
      </c>
      <c r="Z12" s="72" t="str">
        <f t="shared" si="12"/>
        <v>082</v>
      </c>
      <c r="AA12" s="72" t="str">
        <f t="shared" si="12"/>
        <v>000</v>
      </c>
      <c r="AB12" s="72" t="str">
        <f t="shared" si="13"/>
        <v>89</v>
      </c>
      <c r="AC12" s="73">
        <f t="shared" si="14"/>
        <v>89087082000</v>
      </c>
      <c r="AD12" s="73">
        <f t="shared" si="15"/>
        <v>8908708200089</v>
      </c>
    </row>
    <row r="13" spans="1:30" ht="12.75">
      <c r="A13" s="51">
        <f>Teams!A13</f>
        <v>12</v>
      </c>
      <c r="B13" s="51">
        <f>Teams!C13</f>
        <v>8949</v>
      </c>
      <c r="C13" s="51" t="str">
        <f>Teams!B13</f>
        <v>Mechanxt</v>
      </c>
      <c r="D13" s="65">
        <f t="shared" si="1"/>
        <v>109</v>
      </c>
      <c r="E13" s="65">
        <f t="shared" si="2"/>
        <v>78</v>
      </c>
      <c r="F13" s="65">
        <f t="shared" si="3"/>
      </c>
      <c r="G13" s="65">
        <f t="shared" si="4"/>
      </c>
      <c r="H13" s="65">
        <f t="shared" si="5"/>
      </c>
      <c r="I13" s="65">
        <f t="shared" si="6"/>
      </c>
      <c r="J13" s="65">
        <f t="shared" si="7"/>
      </c>
      <c r="K13" s="66">
        <f t="shared" si="8"/>
        <v>109</v>
      </c>
      <c r="L13" s="51">
        <f t="shared" si="9"/>
        <v>11</v>
      </c>
      <c r="M13" s="51">
        <f t="shared" si="10"/>
        <v>11</v>
      </c>
      <c r="N13" s="51">
        <f t="shared" si="11"/>
        <v>2</v>
      </c>
      <c r="Q13">
        <f>INDEX('Score List'!$D$4:$D$197,MATCH($A13&amp;"R"&amp;Q$1,'Score List'!$T$4:$T$197,0),1)</f>
        <v>109</v>
      </c>
      <c r="R13">
        <f>INDEX('Score List'!$D$4:$D$197,MATCH($A13&amp;"R"&amp;R$1,'Score List'!$T$4:$T$197,0),1)</f>
        <v>78</v>
      </c>
      <c r="S13" t="e">
        <f>INDEX('Score List'!$D$4:$D$197,MATCH($A13&amp;"R"&amp;S$1,'Score List'!$T$4:$T$197,0),1)</f>
        <v>#N/A</v>
      </c>
      <c r="T13" t="e">
        <f>INDEX('Score List'!$D$4:$D$197,MATCH($A13&amp;"R"&amp;T$1,'Score List'!$T$4:$T$197,0),1)</f>
        <v>#N/A</v>
      </c>
      <c r="U13" t="e">
        <f>INDEX('Score List'!$D$4:$D$197,MATCH($A13&amp;"R"&amp;U$1,'Score List'!$T$4:$T$197,0),1)</f>
        <v>#N/A</v>
      </c>
      <c r="V13" t="e">
        <f>INDEX('Score List'!$D$4:$D$197,MATCH($A13&amp;"R"&amp;V$1,'Score List'!$T$4:$T$197,0),1)</f>
        <v>#N/A</v>
      </c>
      <c r="W13" t="e">
        <f>INDEX('Score List'!$D$4:$D$197,MATCH($A13&amp;"R"&amp;W$1,'Score List'!$T$4:$T$197,0),1)</f>
        <v>#N/A</v>
      </c>
      <c r="X13" s="72" t="str">
        <f t="shared" si="12"/>
        <v>109</v>
      </c>
      <c r="Y13" s="72" t="str">
        <f t="shared" si="12"/>
        <v>078</v>
      </c>
      <c r="Z13" s="72" t="str">
        <f t="shared" si="12"/>
        <v>000</v>
      </c>
      <c r="AA13" s="72" t="str">
        <f t="shared" si="12"/>
        <v>000</v>
      </c>
      <c r="AB13" s="72" t="str">
        <f t="shared" si="13"/>
        <v>88</v>
      </c>
      <c r="AC13" s="73">
        <f t="shared" si="14"/>
        <v>109078000000</v>
      </c>
      <c r="AD13" s="73">
        <f t="shared" si="15"/>
        <v>10907800000088</v>
      </c>
    </row>
    <row r="14" spans="1:30" ht="12.75">
      <c r="A14" s="51">
        <f>Teams!A14</f>
        <v>13</v>
      </c>
      <c r="B14" s="51">
        <f>Teams!C14</f>
        <v>0</v>
      </c>
      <c r="C14" s="51" t="str">
        <f>Teams!B14</f>
        <v>-</v>
      </c>
      <c r="D14" s="65">
        <f t="shared" si="1"/>
      </c>
      <c r="E14" s="65">
        <f t="shared" si="2"/>
      </c>
      <c r="F14" s="65">
        <f t="shared" si="3"/>
      </c>
      <c r="G14" s="65">
        <f t="shared" si="4"/>
      </c>
      <c r="H14" s="65">
        <f t="shared" si="5"/>
      </c>
      <c r="I14" s="65">
        <f t="shared" si="6"/>
      </c>
      <c r="J14" s="65">
        <f t="shared" si="7"/>
      </c>
      <c r="K14" s="66">
        <f t="shared" si="8"/>
        <v>0</v>
      </c>
      <c r="L14" s="51">
        <f t="shared" si="9"/>
        <v>26</v>
      </c>
      <c r="M14" s="51">
        <f t="shared" si="10"/>
        <v>27</v>
      </c>
      <c r="N14" s="51">
        <f t="shared" si="11"/>
        <v>0</v>
      </c>
      <c r="Q14" t="e">
        <f>INDEX('Score List'!$D$4:$D$197,MATCH($A14&amp;"R"&amp;Q$1,'Score List'!$T$4:$T$197,0),1)</f>
        <v>#N/A</v>
      </c>
      <c r="R14" t="e">
        <f>INDEX('Score List'!$D$4:$D$197,MATCH($A14&amp;"R"&amp;R$1,'Score List'!$T$4:$T$197,0),1)</f>
        <v>#N/A</v>
      </c>
      <c r="S14" t="e">
        <f>INDEX('Score List'!$D$4:$D$197,MATCH($A14&amp;"R"&amp;S$1,'Score List'!$T$4:$T$197,0),1)</f>
        <v>#N/A</v>
      </c>
      <c r="T14" t="e">
        <f>INDEX('Score List'!$D$4:$D$197,MATCH($A14&amp;"R"&amp;T$1,'Score List'!$T$4:$T$197,0),1)</f>
        <v>#N/A</v>
      </c>
      <c r="U14" t="e">
        <f>INDEX('Score List'!$D$4:$D$197,MATCH($A14&amp;"R"&amp;U$1,'Score List'!$T$4:$T$197,0),1)</f>
        <v>#N/A</v>
      </c>
      <c r="V14" t="e">
        <f>INDEX('Score List'!$D$4:$D$197,MATCH($A14&amp;"R"&amp;V$1,'Score List'!$T$4:$T$197,0),1)</f>
        <v>#N/A</v>
      </c>
      <c r="W14" t="e">
        <f>INDEX('Score List'!$D$4:$D$197,MATCH($A14&amp;"R"&amp;W$1,'Score List'!$T$4:$T$197,0),1)</f>
        <v>#N/A</v>
      </c>
      <c r="X14" s="72" t="str">
        <f t="shared" si="12"/>
        <v>000</v>
      </c>
      <c r="Y14" s="72" t="str">
        <f t="shared" si="12"/>
        <v>000</v>
      </c>
      <c r="Z14" s="72" t="str">
        <f t="shared" si="12"/>
        <v>000</v>
      </c>
      <c r="AA14" s="72" t="str">
        <f t="shared" si="12"/>
        <v>000</v>
      </c>
      <c r="AB14" s="72" t="str">
        <f t="shared" si="13"/>
        <v>87</v>
      </c>
      <c r="AC14" s="73">
        <f t="shared" si="14"/>
        <v>0</v>
      </c>
      <c r="AD14" s="73">
        <f t="shared" si="15"/>
        <v>87</v>
      </c>
    </row>
    <row r="15" spans="1:30" ht="12.75">
      <c r="A15" s="51">
        <f>Teams!A15</f>
        <v>14</v>
      </c>
      <c r="B15" s="51">
        <f>Teams!C15</f>
        <v>6722</v>
      </c>
      <c r="C15" s="51" t="str">
        <f>Teams!B15</f>
        <v>Mysterious Skeleton Squirrels</v>
      </c>
      <c r="D15" s="65">
        <f t="shared" si="1"/>
        <v>97</v>
      </c>
      <c r="E15" s="65">
        <f t="shared" si="2"/>
        <v>72</v>
      </c>
      <c r="F15" s="65">
        <f t="shared" si="3"/>
        <v>138</v>
      </c>
      <c r="G15" s="65">
        <f t="shared" si="4"/>
        <v>94</v>
      </c>
      <c r="H15" s="65">
        <f t="shared" si="5"/>
      </c>
      <c r="I15" s="65">
        <f t="shared" si="6"/>
      </c>
      <c r="J15" s="65">
        <f t="shared" si="7"/>
      </c>
      <c r="K15" s="66">
        <f t="shared" si="8"/>
        <v>138</v>
      </c>
      <c r="L15" s="51">
        <f t="shared" si="9"/>
        <v>3</v>
      </c>
      <c r="M15" s="51">
        <f t="shared" si="10"/>
        <v>3</v>
      </c>
      <c r="N15" s="51">
        <f t="shared" si="11"/>
        <v>4</v>
      </c>
      <c r="Q15">
        <f>INDEX('Score List'!$D$4:$D$197,MATCH($A15&amp;"R"&amp;Q$1,'Score List'!$T$4:$T$197,0),1)</f>
        <v>97</v>
      </c>
      <c r="R15">
        <f>INDEX('Score List'!$D$4:$D$197,MATCH($A15&amp;"R"&amp;R$1,'Score List'!$T$4:$T$197,0),1)</f>
        <v>72</v>
      </c>
      <c r="S15">
        <f>INDEX('Score List'!$D$4:$D$197,MATCH($A15&amp;"R"&amp;S$1,'Score List'!$T$4:$T$197,0),1)</f>
        <v>138</v>
      </c>
      <c r="T15">
        <f>INDEX('Score List'!$D$4:$D$197,MATCH($A15&amp;"R"&amp;T$1,'Score List'!$T$4:$T$197,0),1)</f>
        <v>94</v>
      </c>
      <c r="U15" t="e">
        <f>INDEX('Score List'!$D$4:$D$197,MATCH($A15&amp;"R"&amp;U$1,'Score List'!$T$4:$T$197,0),1)</f>
        <v>#N/A</v>
      </c>
      <c r="V15" t="e">
        <f>INDEX('Score List'!$D$4:$D$197,MATCH($A15&amp;"R"&amp;V$1,'Score List'!$T$4:$T$197,0),1)</f>
        <v>#N/A</v>
      </c>
      <c r="W15" t="e">
        <f>INDEX('Score List'!$D$4:$D$197,MATCH($A15&amp;"R"&amp;W$1,'Score List'!$T$4:$T$197,0),1)</f>
        <v>#N/A</v>
      </c>
      <c r="X15" s="72" t="str">
        <f t="shared" si="12"/>
        <v>138</v>
      </c>
      <c r="Y15" s="72" t="str">
        <f t="shared" si="12"/>
        <v>097</v>
      </c>
      <c r="Z15" s="72" t="str">
        <f t="shared" si="12"/>
        <v>094</v>
      </c>
      <c r="AA15" s="72" t="str">
        <f t="shared" si="12"/>
        <v>072</v>
      </c>
      <c r="AB15" s="72" t="str">
        <f t="shared" si="13"/>
        <v>86</v>
      </c>
      <c r="AC15" s="73">
        <f t="shared" si="14"/>
        <v>138097094072</v>
      </c>
      <c r="AD15" s="73">
        <f t="shared" si="15"/>
        <v>13809709407286</v>
      </c>
    </row>
    <row r="16" spans="1:30" ht="12.75">
      <c r="A16" s="51">
        <f>Teams!A16</f>
        <v>15</v>
      </c>
      <c r="B16" s="51">
        <f>Teams!C16</f>
        <v>12440</v>
      </c>
      <c r="C16" s="51" t="str">
        <f>Teams!B16</f>
        <v>Nano-bugs</v>
      </c>
      <c r="D16" s="65">
        <f t="shared" si="1"/>
        <v>54</v>
      </c>
      <c r="E16" s="65">
        <f t="shared" si="2"/>
        <v>74</v>
      </c>
      <c r="F16" s="65">
        <f t="shared" si="3"/>
        <v>61</v>
      </c>
      <c r="G16" s="65">
        <f t="shared" si="4"/>
      </c>
      <c r="H16" s="65">
        <f t="shared" si="5"/>
      </c>
      <c r="I16" s="65">
        <f t="shared" si="6"/>
      </c>
      <c r="J16" s="65">
        <f t="shared" si="7"/>
      </c>
      <c r="K16" s="66">
        <f t="shared" si="8"/>
        <v>74</v>
      </c>
      <c r="L16" s="51">
        <f t="shared" si="9"/>
        <v>25</v>
      </c>
      <c r="M16" s="51">
        <f t="shared" si="10"/>
        <v>25</v>
      </c>
      <c r="N16" s="51">
        <f t="shared" si="11"/>
        <v>3</v>
      </c>
      <c r="Q16">
        <f>INDEX('Score List'!$D$4:$D$197,MATCH($A16&amp;"R"&amp;Q$1,'Score List'!$T$4:$T$197,0),1)</f>
        <v>54</v>
      </c>
      <c r="R16">
        <f>INDEX('Score List'!$D$4:$D$197,MATCH($A16&amp;"R"&amp;R$1,'Score List'!$T$4:$T$197,0),1)</f>
        <v>74</v>
      </c>
      <c r="S16">
        <f>INDEX('Score List'!$D$4:$D$197,MATCH($A16&amp;"R"&amp;S$1,'Score List'!$T$4:$T$197,0),1)</f>
        <v>61</v>
      </c>
      <c r="T16" t="e">
        <f>INDEX('Score List'!$D$4:$D$197,MATCH($A16&amp;"R"&amp;T$1,'Score List'!$T$4:$T$197,0),1)</f>
        <v>#N/A</v>
      </c>
      <c r="U16" t="e">
        <f>INDEX('Score List'!$D$4:$D$197,MATCH($A16&amp;"R"&amp;U$1,'Score List'!$T$4:$T$197,0),1)</f>
        <v>#N/A</v>
      </c>
      <c r="V16" t="e">
        <f>INDEX('Score List'!$D$4:$D$197,MATCH($A16&amp;"R"&amp;V$1,'Score List'!$T$4:$T$197,0),1)</f>
        <v>#N/A</v>
      </c>
      <c r="W16" t="e">
        <f>INDEX('Score List'!$D$4:$D$197,MATCH($A16&amp;"R"&amp;W$1,'Score List'!$T$4:$T$197,0),1)</f>
        <v>#N/A</v>
      </c>
      <c r="X16" s="72" t="str">
        <f t="shared" si="12"/>
        <v>074</v>
      </c>
      <c r="Y16" s="72" t="str">
        <f t="shared" si="12"/>
        <v>061</v>
      </c>
      <c r="Z16" s="72" t="str">
        <f t="shared" si="12"/>
        <v>054</v>
      </c>
      <c r="AA16" s="72" t="str">
        <f t="shared" si="12"/>
        <v>000</v>
      </c>
      <c r="AB16" s="72" t="str">
        <f t="shared" si="13"/>
        <v>85</v>
      </c>
      <c r="AC16" s="73">
        <f t="shared" si="14"/>
        <v>74061054000</v>
      </c>
      <c r="AD16" s="73">
        <f t="shared" si="15"/>
        <v>7406105400085</v>
      </c>
    </row>
    <row r="17" spans="1:30" ht="12.75">
      <c r="A17" s="51">
        <f>Teams!A17</f>
        <v>16</v>
      </c>
      <c r="B17" s="51">
        <f>Teams!C17</f>
        <v>4640</v>
      </c>
      <c r="C17" s="51" t="str">
        <f>Teams!B17</f>
        <v>N-Knacks-T</v>
      </c>
      <c r="D17" s="65">
        <f t="shared" si="1"/>
        <v>61</v>
      </c>
      <c r="E17" s="65">
        <f t="shared" si="2"/>
        <v>101</v>
      </c>
      <c r="F17" s="65">
        <f t="shared" si="3"/>
        <v>73</v>
      </c>
      <c r="G17" s="65">
        <f t="shared" si="4"/>
        <v>76</v>
      </c>
      <c r="H17" s="65">
        <f t="shared" si="5"/>
      </c>
      <c r="I17" s="65">
        <f t="shared" si="6"/>
      </c>
      <c r="J17" s="65">
        <f t="shared" si="7"/>
      </c>
      <c r="K17" s="66">
        <f t="shared" si="8"/>
        <v>101</v>
      </c>
      <c r="L17" s="51">
        <f t="shared" si="9"/>
        <v>14</v>
      </c>
      <c r="M17" s="51">
        <f t="shared" si="10"/>
        <v>14</v>
      </c>
      <c r="N17" s="51">
        <f t="shared" si="11"/>
        <v>4</v>
      </c>
      <c r="Q17">
        <f>INDEX('Score List'!$D$4:$D$197,MATCH($A17&amp;"R"&amp;Q$1,'Score List'!$T$4:$T$197,0),1)</f>
        <v>61</v>
      </c>
      <c r="R17">
        <f>INDEX('Score List'!$D$4:$D$197,MATCH($A17&amp;"R"&amp;R$1,'Score List'!$T$4:$T$197,0),1)</f>
        <v>101</v>
      </c>
      <c r="S17">
        <f>INDEX('Score List'!$D$4:$D$197,MATCH($A17&amp;"R"&amp;S$1,'Score List'!$T$4:$T$197,0),1)</f>
        <v>73</v>
      </c>
      <c r="T17">
        <f>INDEX('Score List'!$D$4:$D$197,MATCH($A17&amp;"R"&amp;T$1,'Score List'!$T$4:$T$197,0),1)</f>
        <v>76</v>
      </c>
      <c r="U17" t="e">
        <f>INDEX('Score List'!$D$4:$D$197,MATCH($A17&amp;"R"&amp;U$1,'Score List'!$T$4:$T$197,0),1)</f>
        <v>#N/A</v>
      </c>
      <c r="V17" t="e">
        <f>INDEX('Score List'!$D$4:$D$197,MATCH($A17&amp;"R"&amp;V$1,'Score List'!$T$4:$T$197,0),1)</f>
        <v>#N/A</v>
      </c>
      <c r="W17" t="e">
        <f>INDEX('Score List'!$D$4:$D$197,MATCH($A17&amp;"R"&amp;W$1,'Score List'!$T$4:$T$197,0),1)</f>
        <v>#N/A</v>
      </c>
      <c r="X17" s="72" t="str">
        <f t="shared" si="12"/>
        <v>101</v>
      </c>
      <c r="Y17" s="72" t="str">
        <f t="shared" si="12"/>
        <v>076</v>
      </c>
      <c r="Z17" s="72" t="str">
        <f t="shared" si="12"/>
        <v>073</v>
      </c>
      <c r="AA17" s="72" t="str">
        <f t="shared" si="12"/>
        <v>061</v>
      </c>
      <c r="AB17" s="72" t="str">
        <f t="shared" si="13"/>
        <v>84</v>
      </c>
      <c r="AC17" s="73">
        <f t="shared" si="14"/>
        <v>101076073061</v>
      </c>
      <c r="AD17" s="73">
        <f t="shared" si="15"/>
        <v>10107607306184</v>
      </c>
    </row>
    <row r="18" spans="1:30" ht="12.75">
      <c r="A18" s="51">
        <f>Teams!A18</f>
        <v>17</v>
      </c>
      <c r="B18" s="51">
        <f>Teams!C18</f>
        <v>5820</v>
      </c>
      <c r="C18" s="51" t="str">
        <f>Teams!B18</f>
        <v>Peaceful Programmers</v>
      </c>
      <c r="D18" s="65">
        <f t="shared" si="1"/>
        <v>107</v>
      </c>
      <c r="E18" s="65">
        <f t="shared" si="2"/>
        <v>124</v>
      </c>
      <c r="F18" s="65">
        <f t="shared" si="3"/>
        <v>95</v>
      </c>
      <c r="G18" s="65">
        <f t="shared" si="4"/>
      </c>
      <c r="H18" s="65">
        <f t="shared" si="5"/>
      </c>
      <c r="I18" s="65">
        <f t="shared" si="6"/>
      </c>
      <c r="J18" s="65">
        <f t="shared" si="7"/>
      </c>
      <c r="K18" s="66">
        <f t="shared" si="8"/>
        <v>124</v>
      </c>
      <c r="L18" s="51">
        <f t="shared" si="9"/>
        <v>7</v>
      </c>
      <c r="M18" s="51">
        <f t="shared" si="10"/>
        <v>7</v>
      </c>
      <c r="N18" s="51">
        <f t="shared" si="11"/>
        <v>3</v>
      </c>
      <c r="Q18">
        <f>INDEX('Score List'!$D$4:$D$197,MATCH($A18&amp;"R"&amp;Q$1,'Score List'!$T$4:$T$197,0),1)</f>
        <v>107</v>
      </c>
      <c r="R18">
        <f>INDEX('Score List'!$D$4:$D$197,MATCH($A18&amp;"R"&amp;R$1,'Score List'!$T$4:$T$197,0),1)</f>
        <v>124</v>
      </c>
      <c r="S18">
        <f>INDEX('Score List'!$D$4:$D$197,MATCH($A18&amp;"R"&amp;S$1,'Score List'!$T$4:$T$197,0),1)</f>
        <v>95</v>
      </c>
      <c r="T18" t="e">
        <f>INDEX('Score List'!$D$4:$D$197,MATCH($A18&amp;"R"&amp;T$1,'Score List'!$T$4:$T$197,0),1)</f>
        <v>#N/A</v>
      </c>
      <c r="U18" t="e">
        <f>INDEX('Score List'!$D$4:$D$197,MATCH($A18&amp;"R"&amp;U$1,'Score List'!$T$4:$T$197,0),1)</f>
        <v>#N/A</v>
      </c>
      <c r="V18" t="e">
        <f>INDEX('Score List'!$D$4:$D$197,MATCH($A18&amp;"R"&amp;V$1,'Score List'!$T$4:$T$197,0),1)</f>
        <v>#N/A</v>
      </c>
      <c r="W18" t="e">
        <f>INDEX('Score List'!$D$4:$D$197,MATCH($A18&amp;"R"&amp;W$1,'Score List'!$T$4:$T$197,0),1)</f>
        <v>#N/A</v>
      </c>
      <c r="X18" s="72" t="str">
        <f t="shared" si="12"/>
        <v>124</v>
      </c>
      <c r="Y18" s="72" t="str">
        <f t="shared" si="12"/>
        <v>107</v>
      </c>
      <c r="Z18" s="72" t="str">
        <f t="shared" si="12"/>
        <v>095</v>
      </c>
      <c r="AA18" s="72" t="str">
        <f t="shared" si="12"/>
        <v>000</v>
      </c>
      <c r="AB18" s="72" t="str">
        <f t="shared" si="13"/>
        <v>83</v>
      </c>
      <c r="AC18" s="73">
        <f t="shared" si="14"/>
        <v>124107095000</v>
      </c>
      <c r="AD18" s="73">
        <f t="shared" si="15"/>
        <v>12410709500083</v>
      </c>
    </row>
    <row r="19" spans="1:30" ht="12.75">
      <c r="A19" s="51">
        <f>Teams!A19</f>
        <v>18</v>
      </c>
      <c r="B19" s="51">
        <f>Teams!C19</f>
        <v>7171</v>
      </c>
      <c r="C19" s="51" t="str">
        <f>Teams!B19</f>
        <v>robokids</v>
      </c>
      <c r="D19" s="65">
        <f t="shared" si="1"/>
        <v>93</v>
      </c>
      <c r="E19" s="65">
        <f t="shared" si="2"/>
        <v>87</v>
      </c>
      <c r="F19" s="65">
        <f t="shared" si="3"/>
        <v>86</v>
      </c>
      <c r="G19" s="65">
        <f t="shared" si="4"/>
      </c>
      <c r="H19" s="65">
        <f t="shared" si="5"/>
      </c>
      <c r="I19" s="65">
        <f t="shared" si="6"/>
      </c>
      <c r="J19" s="65">
        <f t="shared" si="7"/>
      </c>
      <c r="K19" s="66">
        <f t="shared" si="8"/>
        <v>93</v>
      </c>
      <c r="L19" s="51">
        <f t="shared" si="9"/>
        <v>18</v>
      </c>
      <c r="M19" s="51">
        <f t="shared" si="10"/>
        <v>18</v>
      </c>
      <c r="N19" s="51">
        <f t="shared" si="11"/>
        <v>3</v>
      </c>
      <c r="Q19">
        <f>INDEX('Score List'!$D$4:$D$197,MATCH($A19&amp;"R"&amp;Q$1,'Score List'!$T$4:$T$197,0),1)</f>
        <v>93</v>
      </c>
      <c r="R19">
        <f>INDEX('Score List'!$D$4:$D$197,MATCH($A19&amp;"R"&amp;R$1,'Score List'!$T$4:$T$197,0),1)</f>
        <v>87</v>
      </c>
      <c r="S19">
        <f>INDEX('Score List'!$D$4:$D$197,MATCH($A19&amp;"R"&amp;S$1,'Score List'!$T$4:$T$197,0),1)</f>
        <v>86</v>
      </c>
      <c r="T19" t="e">
        <f>INDEX('Score List'!$D$4:$D$197,MATCH($A19&amp;"R"&amp;T$1,'Score List'!$T$4:$T$197,0),1)</f>
        <v>#N/A</v>
      </c>
      <c r="U19" t="e">
        <f>INDEX('Score List'!$D$4:$D$197,MATCH($A19&amp;"R"&amp;U$1,'Score List'!$T$4:$T$197,0),1)</f>
        <v>#N/A</v>
      </c>
      <c r="V19" t="e">
        <f>INDEX('Score List'!$D$4:$D$197,MATCH($A19&amp;"R"&amp;V$1,'Score List'!$T$4:$T$197,0),1)</f>
        <v>#N/A</v>
      </c>
      <c r="W19" t="e">
        <f>INDEX('Score List'!$D$4:$D$197,MATCH($A19&amp;"R"&amp;W$1,'Score List'!$T$4:$T$197,0),1)</f>
        <v>#N/A</v>
      </c>
      <c r="X19" s="72" t="str">
        <f t="shared" si="12"/>
        <v>093</v>
      </c>
      <c r="Y19" s="72" t="str">
        <f t="shared" si="12"/>
        <v>087</v>
      </c>
      <c r="Z19" s="72" t="str">
        <f t="shared" si="12"/>
        <v>086</v>
      </c>
      <c r="AA19" s="72" t="str">
        <f t="shared" si="12"/>
        <v>000</v>
      </c>
      <c r="AB19" s="72" t="str">
        <f t="shared" si="13"/>
        <v>82</v>
      </c>
      <c r="AC19" s="73">
        <f t="shared" si="14"/>
        <v>93087086000</v>
      </c>
      <c r="AD19" s="73">
        <f t="shared" si="15"/>
        <v>9308708600082</v>
      </c>
    </row>
    <row r="20" spans="1:30" ht="12.75">
      <c r="A20" s="51">
        <f>Teams!A20</f>
        <v>19</v>
      </c>
      <c r="B20" s="51">
        <f>Teams!C20</f>
        <v>11271</v>
      </c>
      <c r="C20" s="51" t="str">
        <f>Teams!B20</f>
        <v>Robot-Arbiters</v>
      </c>
      <c r="D20" s="65">
        <f t="shared" si="1"/>
        <v>111</v>
      </c>
      <c r="E20" s="65">
        <f t="shared" si="2"/>
        <v>90</v>
      </c>
      <c r="F20" s="65">
        <f t="shared" si="3"/>
        <v>93</v>
      </c>
      <c r="G20" s="65">
        <f t="shared" si="4"/>
      </c>
      <c r="H20" s="65">
        <f t="shared" si="5"/>
      </c>
      <c r="I20" s="65">
        <f t="shared" si="6"/>
      </c>
      <c r="J20" s="65">
        <f t="shared" si="7"/>
      </c>
      <c r="K20" s="66">
        <f t="shared" si="8"/>
        <v>111</v>
      </c>
      <c r="L20" s="51">
        <f t="shared" si="9"/>
        <v>10</v>
      </c>
      <c r="M20" s="51">
        <f t="shared" si="10"/>
        <v>10</v>
      </c>
      <c r="N20" s="51">
        <f t="shared" si="11"/>
        <v>3</v>
      </c>
      <c r="Q20">
        <f>INDEX('Score List'!$D$4:$D$197,MATCH($A20&amp;"R"&amp;Q$1,'Score List'!$T$4:$T$197,0),1)</f>
        <v>111</v>
      </c>
      <c r="R20">
        <f>INDEX('Score List'!$D$4:$D$197,MATCH($A20&amp;"R"&amp;R$1,'Score List'!$T$4:$T$197,0),1)</f>
        <v>90</v>
      </c>
      <c r="S20">
        <f>INDEX('Score List'!$D$4:$D$197,MATCH($A20&amp;"R"&amp;S$1,'Score List'!$T$4:$T$197,0),1)</f>
        <v>93</v>
      </c>
      <c r="T20" t="e">
        <f>INDEX('Score List'!$D$4:$D$197,MATCH($A20&amp;"R"&amp;T$1,'Score List'!$T$4:$T$197,0),1)</f>
        <v>#N/A</v>
      </c>
      <c r="U20" t="e">
        <f>INDEX('Score List'!$D$4:$D$197,MATCH($A20&amp;"R"&amp;U$1,'Score List'!$T$4:$T$197,0),1)</f>
        <v>#N/A</v>
      </c>
      <c r="V20" t="e">
        <f>INDEX('Score List'!$D$4:$D$197,MATCH($A20&amp;"R"&amp;V$1,'Score List'!$T$4:$T$197,0),1)</f>
        <v>#N/A</v>
      </c>
      <c r="W20" t="e">
        <f>INDEX('Score List'!$D$4:$D$197,MATCH($A20&amp;"R"&amp;W$1,'Score List'!$T$4:$T$197,0),1)</f>
        <v>#N/A</v>
      </c>
      <c r="X20" s="72" t="str">
        <f>TEXT(IF(COUNT($D20:$J20)&gt;=X$1,LARGE($D20:$J20,X$1),0),"000")</f>
        <v>111</v>
      </c>
      <c r="Y20" s="72" t="str">
        <f t="shared" si="12"/>
        <v>093</v>
      </c>
      <c r="Z20" s="72" t="str">
        <f t="shared" si="12"/>
        <v>090</v>
      </c>
      <c r="AA20" s="72" t="str">
        <f t="shared" si="12"/>
        <v>000</v>
      </c>
      <c r="AB20" s="72" t="str">
        <f t="shared" si="13"/>
        <v>81</v>
      </c>
      <c r="AC20" s="73">
        <f t="shared" si="14"/>
        <v>111093090000</v>
      </c>
      <c r="AD20" s="73">
        <f t="shared" si="15"/>
        <v>11109309000081</v>
      </c>
    </row>
    <row r="21" spans="1:30" ht="12.75">
      <c r="A21" s="51">
        <f>Teams!A21</f>
        <v>20</v>
      </c>
      <c r="B21" s="51">
        <f>Teams!C21</f>
        <v>8717</v>
      </c>
      <c r="C21" s="51" t="str">
        <f>Teams!B21</f>
        <v>Robotic Ravioli</v>
      </c>
      <c r="D21" s="65">
        <f t="shared" si="1"/>
        <v>83</v>
      </c>
      <c r="E21" s="65">
        <f t="shared" si="2"/>
        <v>100</v>
      </c>
      <c r="F21" s="65">
        <f t="shared" si="3"/>
        <v>79</v>
      </c>
      <c r="G21" s="65">
        <f t="shared" si="4"/>
      </c>
      <c r="H21" s="65">
        <f t="shared" si="5"/>
      </c>
      <c r="I21" s="65">
        <f t="shared" si="6"/>
      </c>
      <c r="J21" s="65">
        <f t="shared" si="7"/>
      </c>
      <c r="K21" s="66">
        <f t="shared" si="8"/>
        <v>100</v>
      </c>
      <c r="L21" s="51">
        <f t="shared" si="9"/>
        <v>15</v>
      </c>
      <c r="M21" s="51">
        <f t="shared" si="10"/>
        <v>15</v>
      </c>
      <c r="N21" s="51">
        <f t="shared" si="11"/>
        <v>3</v>
      </c>
      <c r="Q21">
        <f>INDEX('Score List'!$D$4:$D$197,MATCH($A21&amp;"R"&amp;Q$1,'Score List'!$T$4:$T$197,0),1)</f>
        <v>83</v>
      </c>
      <c r="R21">
        <f>INDEX('Score List'!$D$4:$D$197,MATCH($A21&amp;"R"&amp;R$1,'Score List'!$T$4:$T$197,0),1)</f>
        <v>100</v>
      </c>
      <c r="S21">
        <f>INDEX('Score List'!$D$4:$D$197,MATCH($A21&amp;"R"&amp;S$1,'Score List'!$T$4:$T$197,0),1)</f>
        <v>79</v>
      </c>
      <c r="T21" t="e">
        <f>INDEX('Score List'!$D$4:$D$197,MATCH($A21&amp;"R"&amp;T$1,'Score List'!$T$4:$T$197,0),1)</f>
        <v>#N/A</v>
      </c>
      <c r="U21" t="e">
        <f>INDEX('Score List'!$D$4:$D$197,MATCH($A21&amp;"R"&amp;U$1,'Score List'!$T$4:$T$197,0),1)</f>
        <v>#N/A</v>
      </c>
      <c r="V21" t="e">
        <f>INDEX('Score List'!$D$4:$D$197,MATCH($A21&amp;"R"&amp;V$1,'Score List'!$T$4:$T$197,0),1)</f>
        <v>#N/A</v>
      </c>
      <c r="W21" t="e">
        <f>INDEX('Score List'!$D$4:$D$197,MATCH($A21&amp;"R"&amp;W$1,'Score List'!$T$4:$T$197,0),1)</f>
        <v>#N/A</v>
      </c>
      <c r="X21" s="72" t="str">
        <f t="shared" si="12"/>
        <v>100</v>
      </c>
      <c r="Y21" s="72" t="str">
        <f t="shared" si="12"/>
        <v>083</v>
      </c>
      <c r="Z21" s="72" t="str">
        <f t="shared" si="12"/>
        <v>079</v>
      </c>
      <c r="AA21" s="72" t="str">
        <f t="shared" si="12"/>
        <v>000</v>
      </c>
      <c r="AB21" s="72" t="str">
        <f t="shared" si="13"/>
        <v>80</v>
      </c>
      <c r="AC21" s="73">
        <f t="shared" si="14"/>
        <v>100083079000</v>
      </c>
      <c r="AD21" s="73">
        <f t="shared" si="15"/>
        <v>10008307900080</v>
      </c>
    </row>
    <row r="22" spans="1:30" ht="12.75">
      <c r="A22" s="51">
        <f>Teams!A22</f>
        <v>21</v>
      </c>
      <c r="B22" s="51">
        <f>Teams!C22</f>
        <v>6949</v>
      </c>
      <c r="C22" s="51" t="str">
        <f>Teams!B22</f>
        <v>SAP Explorers</v>
      </c>
      <c r="D22" s="65">
        <f t="shared" si="1"/>
        <v>75</v>
      </c>
      <c r="E22" s="65">
        <f t="shared" si="2"/>
        <v>96</v>
      </c>
      <c r="F22" s="65">
        <f t="shared" si="3"/>
      </c>
      <c r="G22" s="65">
        <f t="shared" si="4"/>
      </c>
      <c r="H22" s="65">
        <f t="shared" si="5"/>
      </c>
      <c r="I22" s="65">
        <f t="shared" si="6"/>
      </c>
      <c r="J22" s="65">
        <f t="shared" si="7"/>
      </c>
      <c r="K22" s="66">
        <f t="shared" si="8"/>
        <v>96</v>
      </c>
      <c r="L22" s="51">
        <f t="shared" si="9"/>
        <v>17</v>
      </c>
      <c r="M22" s="51">
        <f t="shared" si="10"/>
        <v>17</v>
      </c>
      <c r="N22" s="51">
        <f t="shared" si="11"/>
        <v>2</v>
      </c>
      <c r="Q22">
        <f>INDEX('Score List'!$D$4:$D$197,MATCH($A22&amp;"R"&amp;Q$1,'Score List'!$T$4:$T$197,0),1)</f>
        <v>75</v>
      </c>
      <c r="R22">
        <f>INDEX('Score List'!$D$4:$D$197,MATCH($A22&amp;"R"&amp;R$1,'Score List'!$T$4:$T$197,0),1)</f>
        <v>96</v>
      </c>
      <c r="S22" t="e">
        <f>INDEX('Score List'!$D$4:$D$197,MATCH($A22&amp;"R"&amp;S$1,'Score List'!$T$4:$T$197,0),1)</f>
        <v>#N/A</v>
      </c>
      <c r="T22" t="e">
        <f>INDEX('Score List'!$D$4:$D$197,MATCH($A22&amp;"R"&amp;T$1,'Score List'!$T$4:$T$197,0),1)</f>
        <v>#N/A</v>
      </c>
      <c r="U22" t="e">
        <f>INDEX('Score List'!$D$4:$D$197,MATCH($A22&amp;"R"&amp;U$1,'Score List'!$T$4:$T$197,0),1)</f>
        <v>#N/A</v>
      </c>
      <c r="V22" t="e">
        <f>INDEX('Score List'!$D$4:$D$197,MATCH($A22&amp;"R"&amp;V$1,'Score List'!$T$4:$T$197,0),1)</f>
        <v>#N/A</v>
      </c>
      <c r="W22" t="e">
        <f>INDEX('Score List'!$D$4:$D$197,MATCH($A22&amp;"R"&amp;W$1,'Score List'!$T$4:$T$197,0),1)</f>
        <v>#N/A</v>
      </c>
      <c r="X22" s="72" t="str">
        <f t="shared" si="12"/>
        <v>096</v>
      </c>
      <c r="Y22" s="72" t="str">
        <f t="shared" si="12"/>
        <v>075</v>
      </c>
      <c r="Z22" s="72" t="str">
        <f t="shared" si="12"/>
        <v>000</v>
      </c>
      <c r="AA22" s="72" t="str">
        <f t="shared" si="12"/>
        <v>000</v>
      </c>
      <c r="AB22" s="72" t="str">
        <f t="shared" si="13"/>
        <v>79</v>
      </c>
      <c r="AC22" s="73">
        <f t="shared" si="14"/>
        <v>96075000000</v>
      </c>
      <c r="AD22" s="73">
        <f t="shared" si="15"/>
        <v>9607500000079</v>
      </c>
    </row>
    <row r="23" spans="1:30" ht="12.75">
      <c r="A23" s="51">
        <f>Teams!A23</f>
        <v>22</v>
      </c>
      <c r="B23" s="51">
        <f>Teams!C23</f>
        <v>6195</v>
      </c>
      <c r="C23" s="51" t="str">
        <f>Teams!B23</f>
        <v>SAPP0WER4</v>
      </c>
      <c r="D23" s="65">
        <f t="shared" si="1"/>
        <v>86</v>
      </c>
      <c r="E23" s="65">
        <f t="shared" si="2"/>
        <v>86</v>
      </c>
      <c r="F23" s="65">
        <f t="shared" si="3"/>
      </c>
      <c r="G23" s="65">
        <f t="shared" si="4"/>
      </c>
      <c r="H23" s="65">
        <f t="shared" si="5"/>
      </c>
      <c r="I23" s="65">
        <f t="shared" si="6"/>
      </c>
      <c r="J23" s="65">
        <f t="shared" si="7"/>
      </c>
      <c r="K23" s="66">
        <f t="shared" si="8"/>
        <v>86</v>
      </c>
      <c r="L23" s="51">
        <f t="shared" si="9"/>
        <v>22</v>
      </c>
      <c r="M23" s="51">
        <f t="shared" si="10"/>
        <v>22</v>
      </c>
      <c r="N23" s="51">
        <f t="shared" si="11"/>
        <v>2</v>
      </c>
      <c r="Q23">
        <f>INDEX('Score List'!$D$4:$D$197,MATCH($A23&amp;"R"&amp;Q$1,'Score List'!$T$4:$T$197,0),1)</f>
        <v>86</v>
      </c>
      <c r="R23">
        <f>INDEX('Score List'!$D$4:$D$197,MATCH($A23&amp;"R"&amp;R$1,'Score List'!$T$4:$T$197,0),1)</f>
        <v>86</v>
      </c>
      <c r="S23" t="e">
        <f>INDEX('Score List'!$D$4:$D$197,MATCH($A23&amp;"R"&amp;S$1,'Score List'!$T$4:$T$197,0),1)</f>
        <v>#N/A</v>
      </c>
      <c r="T23" t="e">
        <f>INDEX('Score List'!$D$4:$D$197,MATCH($A23&amp;"R"&amp;T$1,'Score List'!$T$4:$T$197,0),1)</f>
        <v>#N/A</v>
      </c>
      <c r="U23" t="e">
        <f>INDEX('Score List'!$D$4:$D$197,MATCH($A23&amp;"R"&amp;U$1,'Score List'!$T$4:$T$197,0),1)</f>
        <v>#N/A</v>
      </c>
      <c r="V23" t="e">
        <f>INDEX('Score List'!$D$4:$D$197,MATCH($A23&amp;"R"&amp;V$1,'Score List'!$T$4:$T$197,0),1)</f>
        <v>#N/A</v>
      </c>
      <c r="W23" t="e">
        <f>INDEX('Score List'!$D$4:$D$197,MATCH($A23&amp;"R"&amp;W$1,'Score List'!$T$4:$T$197,0),1)</f>
        <v>#N/A</v>
      </c>
      <c r="X23" s="72" t="str">
        <f t="shared" si="12"/>
        <v>086</v>
      </c>
      <c r="Y23" s="72" t="str">
        <f t="shared" si="12"/>
        <v>086</v>
      </c>
      <c r="Z23" s="72" t="str">
        <f t="shared" si="12"/>
        <v>000</v>
      </c>
      <c r="AA23" s="72" t="str">
        <f t="shared" si="12"/>
        <v>000</v>
      </c>
      <c r="AB23" s="72" t="str">
        <f t="shared" si="13"/>
        <v>78</v>
      </c>
      <c r="AC23" s="73">
        <f t="shared" si="14"/>
        <v>86086000000</v>
      </c>
      <c r="AD23" s="73">
        <f t="shared" si="15"/>
        <v>8608600000078</v>
      </c>
    </row>
    <row r="24" spans="1:30" ht="12.75">
      <c r="A24" s="51">
        <f>Teams!A24</f>
        <v>23</v>
      </c>
      <c r="B24" s="51">
        <f>Teams!C24</f>
        <v>11561</v>
      </c>
      <c r="C24" s="51" t="str">
        <f>Teams!B24</f>
        <v>Smart Cookies</v>
      </c>
      <c r="D24" s="65">
        <f t="shared" si="1"/>
        <v>57</v>
      </c>
      <c r="E24" s="65">
        <f t="shared" si="2"/>
        <v>69</v>
      </c>
      <c r="F24" s="65">
        <f t="shared" si="3"/>
        <v>83</v>
      </c>
      <c r="G24" s="65">
        <f t="shared" si="4"/>
      </c>
      <c r="H24" s="65">
        <f t="shared" si="5"/>
      </c>
      <c r="I24" s="65">
        <f t="shared" si="6"/>
      </c>
      <c r="J24" s="65">
        <f t="shared" si="7"/>
      </c>
      <c r="K24" s="66">
        <f t="shared" si="8"/>
        <v>83</v>
      </c>
      <c r="L24" s="51">
        <f t="shared" si="9"/>
        <v>23</v>
      </c>
      <c r="M24" s="51">
        <f t="shared" si="10"/>
        <v>23</v>
      </c>
      <c r="N24" s="51">
        <f t="shared" si="11"/>
        <v>3</v>
      </c>
      <c r="Q24">
        <f>INDEX('Score List'!$D$4:$D$197,MATCH($A24&amp;"R"&amp;Q$1,'Score List'!$T$4:$T$197,0),1)</f>
        <v>57</v>
      </c>
      <c r="R24">
        <f>INDEX('Score List'!$D$4:$D$197,MATCH($A24&amp;"R"&amp;R$1,'Score List'!$T$4:$T$197,0),1)</f>
        <v>69</v>
      </c>
      <c r="S24">
        <f>INDEX('Score List'!$D$4:$D$197,MATCH($A24&amp;"R"&amp;S$1,'Score List'!$T$4:$T$197,0),1)</f>
        <v>83</v>
      </c>
      <c r="T24" t="e">
        <f>INDEX('Score List'!$D$4:$D$197,MATCH($A24&amp;"R"&amp;T$1,'Score List'!$T$4:$T$197,0),1)</f>
        <v>#N/A</v>
      </c>
      <c r="U24" t="e">
        <f>INDEX('Score List'!$D$4:$D$197,MATCH($A24&amp;"R"&amp;U$1,'Score List'!$T$4:$T$197,0),1)</f>
        <v>#N/A</v>
      </c>
      <c r="V24" t="e">
        <f>INDEX('Score List'!$D$4:$D$197,MATCH($A24&amp;"R"&amp;V$1,'Score List'!$T$4:$T$197,0),1)</f>
        <v>#N/A</v>
      </c>
      <c r="W24" t="e">
        <f>INDEX('Score List'!$D$4:$D$197,MATCH($A24&amp;"R"&amp;W$1,'Score List'!$T$4:$T$197,0),1)</f>
        <v>#N/A</v>
      </c>
      <c r="X24" s="72" t="str">
        <f t="shared" si="12"/>
        <v>083</v>
      </c>
      <c r="Y24" s="72" t="str">
        <f t="shared" si="12"/>
        <v>069</v>
      </c>
      <c r="Z24" s="72" t="str">
        <f t="shared" si="12"/>
        <v>057</v>
      </c>
      <c r="AA24" s="72" t="str">
        <f t="shared" si="12"/>
        <v>000</v>
      </c>
      <c r="AB24" s="72" t="str">
        <f t="shared" si="13"/>
        <v>77</v>
      </c>
      <c r="AC24" s="73">
        <f t="shared" si="14"/>
        <v>83069057000</v>
      </c>
      <c r="AD24" s="73">
        <f t="shared" si="15"/>
        <v>8306905700077</v>
      </c>
    </row>
    <row r="25" spans="1:30" ht="12.75">
      <c r="A25" s="51">
        <f>Teams!A25</f>
        <v>24</v>
      </c>
      <c r="B25" s="51">
        <f>Teams!C25</f>
        <v>8627</v>
      </c>
      <c r="C25" s="51" t="str">
        <f>Teams!B25</f>
        <v>The Other Team Again</v>
      </c>
      <c r="D25" s="65">
        <f t="shared" si="1"/>
        <v>154</v>
      </c>
      <c r="E25" s="65">
        <f t="shared" si="2"/>
        <v>147</v>
      </c>
      <c r="F25" s="65">
        <f t="shared" si="3"/>
      </c>
      <c r="G25" s="65">
        <f t="shared" si="4"/>
      </c>
      <c r="H25" s="65">
        <f t="shared" si="5"/>
      </c>
      <c r="I25" s="65">
        <f t="shared" si="6"/>
      </c>
      <c r="J25" s="65">
        <f t="shared" si="7"/>
      </c>
      <c r="K25" s="66">
        <f t="shared" si="8"/>
        <v>154</v>
      </c>
      <c r="L25" s="51">
        <f t="shared" si="9"/>
        <v>2</v>
      </c>
      <c r="M25" s="51">
        <f t="shared" si="10"/>
        <v>2</v>
      </c>
      <c r="N25" s="51">
        <f t="shared" si="11"/>
        <v>2</v>
      </c>
      <c r="Q25">
        <f>INDEX('Score List'!$D$4:$D$197,MATCH($A25&amp;"R"&amp;Q$1,'Score List'!$T$4:$T$197,0),1)</f>
        <v>154</v>
      </c>
      <c r="R25">
        <f>INDEX('Score List'!$D$4:$D$197,MATCH($A25&amp;"R"&amp;R$1,'Score List'!$T$4:$T$197,0),1)</f>
        <v>147</v>
      </c>
      <c r="S25" t="e">
        <f>INDEX('Score List'!$D$4:$D$197,MATCH($A25&amp;"R"&amp;S$1,'Score List'!$T$4:$T$197,0),1)</f>
        <v>#N/A</v>
      </c>
      <c r="T25" t="e">
        <f>INDEX('Score List'!$D$4:$D$197,MATCH($A25&amp;"R"&amp;T$1,'Score List'!$T$4:$T$197,0),1)</f>
        <v>#N/A</v>
      </c>
      <c r="U25" t="e">
        <f>INDEX('Score List'!$D$4:$D$197,MATCH($A25&amp;"R"&amp;U$1,'Score List'!$T$4:$T$197,0),1)</f>
        <v>#N/A</v>
      </c>
      <c r="V25" t="e">
        <f>INDEX('Score List'!$D$4:$D$197,MATCH($A25&amp;"R"&amp;V$1,'Score List'!$T$4:$T$197,0),1)</f>
        <v>#N/A</v>
      </c>
      <c r="W25" t="e">
        <f>INDEX('Score List'!$D$4:$D$197,MATCH($A25&amp;"R"&amp;W$1,'Score List'!$T$4:$T$197,0),1)</f>
        <v>#N/A</v>
      </c>
      <c r="X25" s="72" t="str">
        <f t="shared" si="12"/>
        <v>154</v>
      </c>
      <c r="Y25" s="72" t="str">
        <f t="shared" si="12"/>
        <v>147</v>
      </c>
      <c r="Z25" s="72" t="str">
        <f t="shared" si="12"/>
        <v>000</v>
      </c>
      <c r="AA25" s="72" t="str">
        <f t="shared" si="12"/>
        <v>000</v>
      </c>
      <c r="AB25" s="72" t="str">
        <f t="shared" si="13"/>
        <v>76</v>
      </c>
      <c r="AC25" s="73">
        <f t="shared" si="14"/>
        <v>154147000000</v>
      </c>
      <c r="AD25" s="73">
        <f t="shared" si="15"/>
        <v>15414700000076</v>
      </c>
    </row>
    <row r="26" spans="1:30" ht="12.75">
      <c r="A26" s="51">
        <f>Teams!A26</f>
        <v>25</v>
      </c>
      <c r="B26" s="51">
        <f>Teams!C26</f>
        <v>10934</v>
      </c>
      <c r="C26" s="51" t="str">
        <f>Teams!B26</f>
        <v>Vikings</v>
      </c>
      <c r="D26" s="65">
        <f t="shared" si="1"/>
        <v>79</v>
      </c>
      <c r="E26" s="65">
        <f t="shared" si="2"/>
        <v>111</v>
      </c>
      <c r="F26" s="65">
        <f t="shared" si="3"/>
        <v>94</v>
      </c>
      <c r="G26" s="65">
        <f t="shared" si="4"/>
      </c>
      <c r="H26" s="65">
        <f t="shared" si="5"/>
      </c>
      <c r="I26" s="65">
        <f t="shared" si="6"/>
      </c>
      <c r="J26" s="65">
        <f t="shared" si="7"/>
      </c>
      <c r="K26" s="66">
        <f t="shared" si="8"/>
        <v>111</v>
      </c>
      <c r="L26" s="51">
        <f t="shared" si="9"/>
        <v>9</v>
      </c>
      <c r="M26" s="51">
        <f t="shared" si="10"/>
        <v>9</v>
      </c>
      <c r="N26" s="51">
        <f t="shared" si="11"/>
        <v>3</v>
      </c>
      <c r="Q26">
        <f>INDEX('Score List'!$D$4:$D$197,MATCH($A26&amp;"R"&amp;Q$1,'Score List'!$T$4:$T$197,0),1)</f>
        <v>79</v>
      </c>
      <c r="R26">
        <f>INDEX('Score List'!$D$4:$D$197,MATCH($A26&amp;"R"&amp;R$1,'Score List'!$T$4:$T$197,0),1)</f>
        <v>111</v>
      </c>
      <c r="S26">
        <f>INDEX('Score List'!$D$4:$D$197,MATCH($A26&amp;"R"&amp;S$1,'Score List'!$T$4:$T$197,0),1)</f>
        <v>94</v>
      </c>
      <c r="T26" t="e">
        <f>INDEX('Score List'!$D$4:$D$197,MATCH($A26&amp;"R"&amp;T$1,'Score List'!$T$4:$T$197,0),1)</f>
        <v>#N/A</v>
      </c>
      <c r="U26" t="e">
        <f>INDEX('Score List'!$D$4:$D$197,MATCH($A26&amp;"R"&amp;U$1,'Score List'!$T$4:$T$197,0),1)</f>
        <v>#N/A</v>
      </c>
      <c r="V26" t="e">
        <f>INDEX('Score List'!$D$4:$D$197,MATCH($A26&amp;"R"&amp;V$1,'Score List'!$T$4:$T$197,0),1)</f>
        <v>#N/A</v>
      </c>
      <c r="W26" t="e">
        <f>INDEX('Score List'!$D$4:$D$197,MATCH($A26&amp;"R"&amp;W$1,'Score List'!$T$4:$T$197,0),1)</f>
        <v>#N/A</v>
      </c>
      <c r="X26" s="72" t="str">
        <f t="shared" si="12"/>
        <v>111</v>
      </c>
      <c r="Y26" s="72" t="str">
        <f t="shared" si="12"/>
        <v>094</v>
      </c>
      <c r="Z26" s="72" t="str">
        <f t="shared" si="12"/>
        <v>079</v>
      </c>
      <c r="AA26" s="72" t="str">
        <f t="shared" si="12"/>
        <v>000</v>
      </c>
      <c r="AB26" s="72" t="str">
        <f t="shared" si="13"/>
        <v>75</v>
      </c>
      <c r="AC26" s="73">
        <f t="shared" si="14"/>
        <v>111094079000</v>
      </c>
      <c r="AD26" s="73">
        <f t="shared" si="15"/>
        <v>11109407900075</v>
      </c>
    </row>
    <row r="27" spans="1:30" ht="12.75">
      <c r="A27" s="51">
        <f>Teams!A27</f>
        <v>26</v>
      </c>
      <c r="B27" s="51">
        <f>Teams!C27</f>
        <v>9663</v>
      </c>
      <c r="C27" s="51" t="str">
        <f>Teams!B27</f>
        <v>Xtreme Creators</v>
      </c>
      <c r="D27" s="65">
        <f t="shared" si="1"/>
        <v>80</v>
      </c>
      <c r="E27" s="65">
        <f t="shared" si="2"/>
        <v>76</v>
      </c>
      <c r="F27" s="65">
        <f t="shared" si="3"/>
        <v>76</v>
      </c>
      <c r="G27" s="65">
        <f t="shared" si="4"/>
        <v>93</v>
      </c>
      <c r="H27" s="65">
        <f t="shared" si="5"/>
      </c>
      <c r="I27" s="65">
        <f t="shared" si="6"/>
      </c>
      <c r="J27" s="65">
        <f t="shared" si="7"/>
      </c>
      <c r="K27" s="66">
        <f t="shared" si="8"/>
        <v>93</v>
      </c>
      <c r="L27" s="51">
        <f t="shared" si="9"/>
        <v>19</v>
      </c>
      <c r="M27" s="51">
        <f t="shared" si="10"/>
        <v>19</v>
      </c>
      <c r="N27" s="51">
        <f t="shared" si="11"/>
        <v>4</v>
      </c>
      <c r="Q27">
        <f>INDEX('Score List'!$D$4:$D$197,MATCH($A27&amp;"R"&amp;Q$1,'Score List'!$T$4:$T$197,0),1)</f>
        <v>80</v>
      </c>
      <c r="R27">
        <f>INDEX('Score List'!$D$4:$D$197,MATCH($A27&amp;"R"&amp;R$1,'Score List'!$T$4:$T$197,0),1)</f>
        <v>76</v>
      </c>
      <c r="S27">
        <f>INDEX('Score List'!$D$4:$D$197,MATCH($A27&amp;"R"&amp;S$1,'Score List'!$T$4:$T$197,0),1)</f>
        <v>76</v>
      </c>
      <c r="T27">
        <f>INDEX('Score List'!$D$4:$D$197,MATCH($A27&amp;"R"&amp;T$1,'Score List'!$T$4:$T$197,0),1)</f>
        <v>93</v>
      </c>
      <c r="U27" t="e">
        <f>INDEX('Score List'!$D$4:$D$197,MATCH($A27&amp;"R"&amp;U$1,'Score List'!$T$4:$T$197,0),1)</f>
        <v>#N/A</v>
      </c>
      <c r="V27" t="e">
        <f>INDEX('Score List'!$D$4:$D$197,MATCH($A27&amp;"R"&amp;V$1,'Score List'!$T$4:$T$197,0),1)</f>
        <v>#N/A</v>
      </c>
      <c r="W27" t="e">
        <f>INDEX('Score List'!$D$4:$D$197,MATCH($A27&amp;"R"&amp;W$1,'Score List'!$T$4:$T$197,0),1)</f>
        <v>#N/A</v>
      </c>
      <c r="X27" s="72" t="str">
        <f t="shared" si="12"/>
        <v>093</v>
      </c>
      <c r="Y27" s="72" t="str">
        <f t="shared" si="12"/>
        <v>080</v>
      </c>
      <c r="Z27" s="72" t="str">
        <f t="shared" si="12"/>
        <v>076</v>
      </c>
      <c r="AA27" s="72" t="str">
        <f t="shared" si="12"/>
        <v>076</v>
      </c>
      <c r="AB27" s="72" t="str">
        <f t="shared" si="13"/>
        <v>74</v>
      </c>
      <c r="AC27" s="73">
        <f t="shared" si="14"/>
        <v>93080076076</v>
      </c>
      <c r="AD27" s="73">
        <f t="shared" si="15"/>
        <v>9308007607674</v>
      </c>
    </row>
    <row r="28" spans="1:30" ht="12.75">
      <c r="A28" s="51">
        <f>Teams!A28</f>
        <v>27</v>
      </c>
      <c r="B28" s="51">
        <f>Teams!C28</f>
        <v>3447</v>
      </c>
      <c r="C28" s="51" t="str">
        <f>Teams!B28</f>
        <v>Robotics space girls</v>
      </c>
      <c r="D28" s="65">
        <f t="shared" si="1"/>
        <v>58</v>
      </c>
      <c r="E28" s="65">
        <f t="shared" si="2"/>
        <v>77</v>
      </c>
      <c r="F28" s="65">
        <f t="shared" si="3"/>
        <v>65</v>
      </c>
      <c r="G28" s="65">
        <f t="shared" si="4"/>
      </c>
      <c r="H28" s="65">
        <f t="shared" si="5"/>
      </c>
      <c r="I28" s="65">
        <f t="shared" si="6"/>
      </c>
      <c r="J28" s="65">
        <f t="shared" si="7"/>
      </c>
      <c r="K28" s="66">
        <f t="shared" si="8"/>
        <v>77</v>
      </c>
      <c r="L28" s="51">
        <f t="shared" si="9"/>
        <v>24</v>
      </c>
      <c r="M28" s="51">
        <f t="shared" si="10"/>
        <v>24</v>
      </c>
      <c r="N28" s="51">
        <f t="shared" si="11"/>
        <v>3</v>
      </c>
      <c r="Q28">
        <f>INDEX('Score List'!$D$4:$D$197,MATCH($A28&amp;"R"&amp;Q$1,'Score List'!$T$4:$T$197,0),1)</f>
        <v>58</v>
      </c>
      <c r="R28">
        <f>INDEX('Score List'!$D$4:$D$197,MATCH($A28&amp;"R"&amp;R$1,'Score List'!$T$4:$T$197,0),1)</f>
        <v>77</v>
      </c>
      <c r="S28">
        <f>INDEX('Score List'!$D$4:$D$197,MATCH($A28&amp;"R"&amp;S$1,'Score List'!$T$4:$T$197,0),1)</f>
        <v>65</v>
      </c>
      <c r="T28" t="e">
        <f>INDEX('Score List'!$D$4:$D$197,MATCH($A28&amp;"R"&amp;T$1,'Score List'!$T$4:$T$197,0),1)</f>
        <v>#N/A</v>
      </c>
      <c r="U28" t="e">
        <f>INDEX('Score List'!$D$4:$D$197,MATCH($A28&amp;"R"&amp;U$1,'Score List'!$T$4:$T$197,0),1)</f>
        <v>#N/A</v>
      </c>
      <c r="V28" t="e">
        <f>INDEX('Score List'!$D$4:$D$197,MATCH($A28&amp;"R"&amp;V$1,'Score List'!$T$4:$T$197,0),1)</f>
        <v>#N/A</v>
      </c>
      <c r="W28" t="e">
        <f>INDEX('Score List'!$D$4:$D$197,MATCH($A28&amp;"R"&amp;W$1,'Score List'!$T$4:$T$197,0),1)</f>
        <v>#N/A</v>
      </c>
      <c r="X28" s="72" t="str">
        <f t="shared" si="12"/>
        <v>077</v>
      </c>
      <c r="Y28" s="72" t="str">
        <f t="shared" si="12"/>
        <v>065</v>
      </c>
      <c r="Z28" s="72" t="str">
        <f t="shared" si="12"/>
        <v>058</v>
      </c>
      <c r="AA28" s="72" t="str">
        <f t="shared" si="12"/>
        <v>000</v>
      </c>
      <c r="AB28" s="72" t="str">
        <f t="shared" si="13"/>
        <v>73</v>
      </c>
      <c r="AC28" s="73">
        <f t="shared" si="14"/>
        <v>77065058000</v>
      </c>
      <c r="AD28" s="73">
        <f t="shared" si="15"/>
        <v>7706505800073</v>
      </c>
    </row>
    <row r="29" spans="1:30" ht="12.75">
      <c r="A29" s="51">
        <f>Teams!A29</f>
        <v>28</v>
      </c>
      <c r="B29" s="51">
        <f>Teams!C29</f>
        <v>0</v>
      </c>
      <c r="C29" s="51" t="str">
        <f>Teams!B29</f>
        <v>-</v>
      </c>
      <c r="D29" s="65">
        <f t="shared" si="1"/>
      </c>
      <c r="E29" s="65">
        <f t="shared" si="2"/>
      </c>
      <c r="F29" s="65">
        <f t="shared" si="3"/>
      </c>
      <c r="G29" s="65">
        <f t="shared" si="4"/>
      </c>
      <c r="H29" s="65">
        <f t="shared" si="5"/>
      </c>
      <c r="I29" s="65">
        <f t="shared" si="6"/>
      </c>
      <c r="J29" s="65">
        <f t="shared" si="7"/>
      </c>
      <c r="K29" s="66">
        <f t="shared" si="8"/>
        <v>0</v>
      </c>
      <c r="L29" s="51">
        <f t="shared" si="9"/>
        <v>26</v>
      </c>
      <c r="M29" s="51">
        <f t="shared" si="10"/>
        <v>28</v>
      </c>
      <c r="N29" s="51">
        <f t="shared" si="11"/>
        <v>0</v>
      </c>
      <c r="Q29" t="e">
        <f>INDEX('Score List'!$D$4:$D$197,MATCH($A29&amp;"R"&amp;Q$1,'Score List'!$T$4:$T$197,0),1)</f>
        <v>#N/A</v>
      </c>
      <c r="R29" t="e">
        <f>INDEX('Score List'!$D$4:$D$197,MATCH($A29&amp;"R"&amp;R$1,'Score List'!$T$4:$T$197,0),1)</f>
        <v>#N/A</v>
      </c>
      <c r="S29" t="e">
        <f>INDEX('Score List'!$D$4:$D$197,MATCH($A29&amp;"R"&amp;S$1,'Score List'!$T$4:$T$197,0),1)</f>
        <v>#N/A</v>
      </c>
      <c r="T29" t="e">
        <f>INDEX('Score List'!$D$4:$D$197,MATCH($A29&amp;"R"&amp;T$1,'Score List'!$T$4:$T$197,0),1)</f>
        <v>#N/A</v>
      </c>
      <c r="U29" t="e">
        <f>INDEX('Score List'!$D$4:$D$197,MATCH($A29&amp;"R"&amp;U$1,'Score List'!$T$4:$T$197,0),1)</f>
        <v>#N/A</v>
      </c>
      <c r="V29" t="e">
        <f>INDEX('Score List'!$D$4:$D$197,MATCH($A29&amp;"R"&amp;V$1,'Score List'!$T$4:$T$197,0),1)</f>
        <v>#N/A</v>
      </c>
      <c r="W29" t="e">
        <f>INDEX('Score List'!$D$4:$D$197,MATCH($A29&amp;"R"&amp;W$1,'Score List'!$T$4:$T$197,0),1)</f>
        <v>#N/A</v>
      </c>
      <c r="X29" s="72" t="str">
        <f t="shared" si="12"/>
        <v>000</v>
      </c>
      <c r="Y29" s="72" t="str">
        <f t="shared" si="12"/>
        <v>000</v>
      </c>
      <c r="Z29" s="72" t="str">
        <f t="shared" si="12"/>
        <v>000</v>
      </c>
      <c r="AA29" s="72" t="str">
        <f t="shared" si="12"/>
        <v>000</v>
      </c>
      <c r="AB29" s="72" t="str">
        <f t="shared" si="13"/>
        <v>72</v>
      </c>
      <c r="AC29" s="73">
        <f t="shared" si="14"/>
        <v>0</v>
      </c>
      <c r="AD29" s="73">
        <f t="shared" si="15"/>
        <v>72</v>
      </c>
    </row>
    <row r="30" spans="1:30" ht="12.75">
      <c r="A30" s="51">
        <f>Teams!A30</f>
        <v>29</v>
      </c>
      <c r="B30" s="51">
        <f>Teams!C30</f>
        <v>0</v>
      </c>
      <c r="C30" s="51" t="str">
        <f>Teams!B30</f>
        <v>-</v>
      </c>
      <c r="D30" s="65">
        <f t="shared" si="1"/>
      </c>
      <c r="E30" s="65">
        <f t="shared" si="2"/>
      </c>
      <c r="F30" s="65">
        <f t="shared" si="3"/>
      </c>
      <c r="G30" s="65">
        <f t="shared" si="4"/>
      </c>
      <c r="H30" s="65">
        <f t="shared" si="5"/>
      </c>
      <c r="I30" s="65">
        <f t="shared" si="6"/>
      </c>
      <c r="J30" s="65">
        <f t="shared" si="7"/>
      </c>
      <c r="K30" s="66">
        <f t="shared" si="8"/>
        <v>0</v>
      </c>
      <c r="L30" s="51">
        <f t="shared" si="9"/>
        <v>26</v>
      </c>
      <c r="M30" s="51">
        <f t="shared" si="10"/>
        <v>29</v>
      </c>
      <c r="N30" s="51">
        <f t="shared" si="11"/>
        <v>0</v>
      </c>
      <c r="Q30" t="e">
        <f>INDEX('Score List'!$D$4:$D$197,MATCH($A30&amp;"R"&amp;Q$1,'Score List'!$T$4:$T$197,0),1)</f>
        <v>#N/A</v>
      </c>
      <c r="R30" t="e">
        <f>INDEX('Score List'!$D$4:$D$197,MATCH($A30&amp;"R"&amp;R$1,'Score List'!$T$4:$T$197,0),1)</f>
        <v>#N/A</v>
      </c>
      <c r="S30" t="e">
        <f>INDEX('Score List'!$D$4:$D$197,MATCH($A30&amp;"R"&amp;S$1,'Score List'!$T$4:$T$197,0),1)</f>
        <v>#N/A</v>
      </c>
      <c r="T30" t="e">
        <f>INDEX('Score List'!$D$4:$D$197,MATCH($A30&amp;"R"&amp;T$1,'Score List'!$T$4:$T$197,0),1)</f>
        <v>#N/A</v>
      </c>
      <c r="U30" t="e">
        <f>INDEX('Score List'!$D$4:$D$197,MATCH($A30&amp;"R"&amp;U$1,'Score List'!$T$4:$T$197,0),1)</f>
        <v>#N/A</v>
      </c>
      <c r="V30" t="e">
        <f>INDEX('Score List'!$D$4:$D$197,MATCH($A30&amp;"R"&amp;V$1,'Score List'!$T$4:$T$197,0),1)</f>
        <v>#N/A</v>
      </c>
      <c r="W30" t="e">
        <f>INDEX('Score List'!$D$4:$D$197,MATCH($A30&amp;"R"&amp;W$1,'Score List'!$T$4:$T$197,0),1)</f>
        <v>#N/A</v>
      </c>
      <c r="X30" s="72" t="str">
        <f t="shared" si="12"/>
        <v>000</v>
      </c>
      <c r="Y30" s="72" t="str">
        <f t="shared" si="12"/>
        <v>000</v>
      </c>
      <c r="Z30" s="72" t="str">
        <f t="shared" si="12"/>
        <v>000</v>
      </c>
      <c r="AA30" s="72" t="str">
        <f t="shared" si="12"/>
        <v>000</v>
      </c>
      <c r="AB30" s="72" t="str">
        <f t="shared" si="13"/>
        <v>71</v>
      </c>
      <c r="AC30" s="73">
        <f t="shared" si="14"/>
        <v>0</v>
      </c>
      <c r="AD30" s="73">
        <f t="shared" si="15"/>
        <v>71</v>
      </c>
    </row>
    <row r="31" spans="1:30" ht="12.75">
      <c r="A31" s="51">
        <f>Teams!A31</f>
        <v>30</v>
      </c>
      <c r="B31" s="51">
        <f>Teams!C31</f>
        <v>0</v>
      </c>
      <c r="C31" s="51" t="str">
        <f>Teams!B31</f>
        <v>-</v>
      </c>
      <c r="D31" s="65">
        <f aca="true" t="shared" si="16" ref="D31:J31">IF(ISNA(Q31),"",Q31)</f>
      </c>
      <c r="E31" s="65">
        <f t="shared" si="16"/>
      </c>
      <c r="F31" s="65">
        <f t="shared" si="16"/>
      </c>
      <c r="G31" s="65">
        <f t="shared" si="16"/>
      </c>
      <c r="H31" s="65">
        <f t="shared" si="16"/>
      </c>
      <c r="I31" s="65">
        <f t="shared" si="16"/>
      </c>
      <c r="J31" s="65">
        <f t="shared" si="16"/>
      </c>
      <c r="K31" s="66">
        <f t="shared" si="8"/>
        <v>0</v>
      </c>
      <c r="L31" s="51">
        <f t="shared" si="9"/>
        <v>26</v>
      </c>
      <c r="M31" s="51">
        <f t="shared" si="10"/>
        <v>30</v>
      </c>
      <c r="N31" s="51">
        <f t="shared" si="11"/>
        <v>0</v>
      </c>
      <c r="Q31" t="e">
        <f>INDEX('Score List'!$D$4:$D$197,MATCH($A31&amp;"R"&amp;Q$1,'Score List'!$T$4:$T$197,0),1)</f>
        <v>#N/A</v>
      </c>
      <c r="R31" t="e">
        <f>INDEX('Score List'!$D$4:$D$197,MATCH($A31&amp;"R"&amp;R$1,'Score List'!$T$4:$T$197,0),1)</f>
        <v>#N/A</v>
      </c>
      <c r="S31" t="e">
        <f>INDEX('Score List'!$D$4:$D$197,MATCH($A31&amp;"R"&amp;S$1,'Score List'!$T$4:$T$197,0),1)</f>
        <v>#N/A</v>
      </c>
      <c r="T31" t="e">
        <f>INDEX('Score List'!$D$4:$D$197,MATCH($A31&amp;"R"&amp;T$1,'Score List'!$T$4:$T$197,0),1)</f>
        <v>#N/A</v>
      </c>
      <c r="U31" t="e">
        <f>INDEX('Score List'!$D$4:$D$197,MATCH($A31&amp;"R"&amp;U$1,'Score List'!$T$4:$T$197,0),1)</f>
        <v>#N/A</v>
      </c>
      <c r="V31" t="e">
        <f>INDEX('Score List'!$D$4:$D$197,MATCH($A31&amp;"R"&amp;V$1,'Score List'!$T$4:$T$197,0),1)</f>
        <v>#N/A</v>
      </c>
      <c r="W31" t="e">
        <f>INDEX('Score List'!$D$4:$D$197,MATCH($A31&amp;"R"&amp;W$1,'Score List'!$T$4:$T$197,0),1)</f>
        <v>#N/A</v>
      </c>
      <c r="X31" s="72" t="str">
        <f t="shared" si="12"/>
        <v>000</v>
      </c>
      <c r="Y31" s="72" t="str">
        <f t="shared" si="12"/>
        <v>000</v>
      </c>
      <c r="Z31" s="72" t="str">
        <f t="shared" si="12"/>
        <v>000</v>
      </c>
      <c r="AA31" s="72" t="str">
        <f t="shared" si="12"/>
        <v>000</v>
      </c>
      <c r="AB31" s="72" t="str">
        <f t="shared" si="13"/>
        <v>70</v>
      </c>
      <c r="AC31" s="73">
        <f t="shared" si="14"/>
        <v>0</v>
      </c>
      <c r="AD31" s="73">
        <f t="shared" si="15"/>
        <v>70</v>
      </c>
    </row>
    <row r="32" ht="12.75">
      <c r="A32" s="68" t="s">
        <v>63</v>
      </c>
    </row>
    <row r="33" spans="1:15" ht="12.75">
      <c r="A33" s="62" t="s">
        <v>57</v>
      </c>
      <c r="B33" s="62" t="s">
        <v>41</v>
      </c>
      <c r="C33" s="62" t="s">
        <v>42</v>
      </c>
      <c r="D33" s="62">
        <v>1</v>
      </c>
      <c r="E33" s="62">
        <v>2</v>
      </c>
      <c r="F33" s="62">
        <v>3</v>
      </c>
      <c r="G33" s="62">
        <v>4</v>
      </c>
      <c r="H33" s="62">
        <v>5</v>
      </c>
      <c r="I33" s="62">
        <v>6</v>
      </c>
      <c r="J33" s="62">
        <v>7</v>
      </c>
      <c r="K33" s="63" t="s">
        <v>58</v>
      </c>
      <c r="L33" s="64" t="s">
        <v>59</v>
      </c>
      <c r="M33" s="69" t="s">
        <v>60</v>
      </c>
      <c r="N33" s="69" t="s">
        <v>70</v>
      </c>
      <c r="O33" s="69" t="s">
        <v>64</v>
      </c>
    </row>
    <row r="34" spans="1:23" ht="12.75">
      <c r="A34" s="51">
        <f aca="true" ca="1" t="shared" si="17" ref="A34:L34">OFFSET(A$1,$O34,0)</f>
        <v>3</v>
      </c>
      <c r="B34" s="51">
        <f ca="1" t="shared" si="17"/>
        <v>5536</v>
      </c>
      <c r="C34" s="51" t="str">
        <f ca="1" t="shared" si="17"/>
        <v>Eaglebots</v>
      </c>
      <c r="D34" s="51">
        <f ca="1" t="shared" si="17"/>
        <v>85</v>
      </c>
      <c r="E34" s="51">
        <f ca="1" t="shared" si="17"/>
        <v>185</v>
      </c>
      <c r="F34" s="51">
        <f ca="1" t="shared" si="17"/>
        <v>175</v>
      </c>
      <c r="G34" s="51">
        <f ca="1" t="shared" si="17"/>
      </c>
      <c r="H34" s="51">
        <f ca="1" t="shared" si="17"/>
      </c>
      <c r="I34" s="51">
        <f ca="1" t="shared" si="17"/>
      </c>
      <c r="J34" s="51">
        <f ca="1" t="shared" si="17"/>
      </c>
      <c r="K34" s="51">
        <f ca="1" t="shared" si="17"/>
        <v>185</v>
      </c>
      <c r="L34" s="51">
        <f ca="1" t="shared" si="17"/>
        <v>1</v>
      </c>
      <c r="M34" s="51">
        <v>1</v>
      </c>
      <c r="N34" s="51">
        <f aca="true" ca="1" t="shared" si="18" ref="N34:N49">OFFSET(N$1,$O34,0)</f>
        <v>3</v>
      </c>
      <c r="O34" s="51">
        <f>MATCH(M34,$M$2:$M$31,0)</f>
        <v>3</v>
      </c>
      <c r="Q34" s="51">
        <f aca="true" ca="1" t="shared" si="19" ref="Q34:W49">OFFSET(Q$1,$O34,0)</f>
        <v>85</v>
      </c>
      <c r="R34" s="51">
        <f ca="1" t="shared" si="19"/>
        <v>185</v>
      </c>
      <c r="S34" s="51">
        <f ca="1" t="shared" si="19"/>
        <v>175</v>
      </c>
      <c r="T34" s="51" t="e">
        <f ca="1" t="shared" si="19"/>
        <v>#N/A</v>
      </c>
      <c r="U34" s="51" t="e">
        <f ca="1" t="shared" si="19"/>
        <v>#N/A</v>
      </c>
      <c r="V34" s="51" t="e">
        <f ca="1" t="shared" si="19"/>
        <v>#N/A</v>
      </c>
      <c r="W34" s="51" t="e">
        <f ca="1" t="shared" si="19"/>
        <v>#N/A</v>
      </c>
    </row>
    <row r="35" spans="1:23" ht="12.75">
      <c r="A35" s="51">
        <f aca="true" ca="1" t="shared" si="20" ref="A35:L63">OFFSET(A$1,$O35,0)</f>
        <v>24</v>
      </c>
      <c r="B35" s="51">
        <f ca="1" t="shared" si="20"/>
        <v>8627</v>
      </c>
      <c r="C35" s="51" t="str">
        <f ca="1" t="shared" si="20"/>
        <v>The Other Team Again</v>
      </c>
      <c r="D35" s="51">
        <f aca="true" ca="1" t="shared" si="21" ref="D35:L49">OFFSET(D$1,$O35,0)</f>
        <v>154</v>
      </c>
      <c r="E35" s="51">
        <f ca="1" t="shared" si="21"/>
        <v>147</v>
      </c>
      <c r="F35" s="51">
        <f ca="1" t="shared" si="21"/>
      </c>
      <c r="G35" s="51">
        <f ca="1" t="shared" si="21"/>
      </c>
      <c r="H35" s="51">
        <f ca="1" t="shared" si="21"/>
      </c>
      <c r="I35" s="51">
        <f ca="1" t="shared" si="21"/>
      </c>
      <c r="J35" s="51">
        <f ca="1" t="shared" si="21"/>
      </c>
      <c r="K35" s="51">
        <f ca="1" t="shared" si="21"/>
        <v>154</v>
      </c>
      <c r="L35" s="51">
        <f aca="true" ca="1" t="shared" si="22" ref="L35:L46">OFFSET(L$1,$O35,0)</f>
        <v>2</v>
      </c>
      <c r="M35" s="51">
        <v>2</v>
      </c>
      <c r="N35" s="51">
        <f ca="1" t="shared" si="18"/>
        <v>2</v>
      </c>
      <c r="O35" s="51">
        <f aca="true" t="shared" si="23" ref="O35:O63">MATCH(M35,$M$2:$M$31,0)</f>
        <v>24</v>
      </c>
      <c r="Q35" s="51">
        <f ca="1" t="shared" si="19"/>
        <v>154</v>
      </c>
      <c r="R35" s="51">
        <f ca="1" t="shared" si="19"/>
        <v>147</v>
      </c>
      <c r="S35" s="51" t="e">
        <f ca="1" t="shared" si="19"/>
        <v>#N/A</v>
      </c>
      <c r="T35" s="51" t="e">
        <f ca="1" t="shared" si="19"/>
        <v>#N/A</v>
      </c>
      <c r="U35" s="51" t="e">
        <f ca="1" t="shared" si="19"/>
        <v>#N/A</v>
      </c>
      <c r="V35" s="51" t="e">
        <f ca="1" t="shared" si="19"/>
        <v>#N/A</v>
      </c>
      <c r="W35" s="51" t="e">
        <f ca="1" t="shared" si="19"/>
        <v>#N/A</v>
      </c>
    </row>
    <row r="36" spans="1:23" ht="12.75">
      <c r="A36" s="51">
        <f ca="1" t="shared" si="20"/>
        <v>14</v>
      </c>
      <c r="B36" s="51">
        <f ca="1" t="shared" si="20"/>
        <v>6722</v>
      </c>
      <c r="C36" s="51" t="str">
        <f ca="1" t="shared" si="20"/>
        <v>Mysterious Skeleton Squirrels</v>
      </c>
      <c r="D36" s="51">
        <f ca="1" t="shared" si="21"/>
        <v>97</v>
      </c>
      <c r="E36" s="51">
        <f ca="1" t="shared" si="21"/>
        <v>72</v>
      </c>
      <c r="F36" s="51">
        <f ca="1" t="shared" si="21"/>
        <v>138</v>
      </c>
      <c r="G36" s="51">
        <f ca="1" t="shared" si="21"/>
        <v>94</v>
      </c>
      <c r="H36" s="51">
        <f ca="1" t="shared" si="21"/>
      </c>
      <c r="I36" s="51">
        <f ca="1" t="shared" si="21"/>
      </c>
      <c r="J36" s="51">
        <f ca="1" t="shared" si="21"/>
      </c>
      <c r="K36" s="51">
        <f ca="1" t="shared" si="21"/>
        <v>138</v>
      </c>
      <c r="L36" s="51">
        <f ca="1" t="shared" si="22"/>
        <v>3</v>
      </c>
      <c r="M36" s="51">
        <v>3</v>
      </c>
      <c r="N36" s="51">
        <f ca="1" t="shared" si="18"/>
        <v>4</v>
      </c>
      <c r="O36" s="51">
        <f t="shared" si="23"/>
        <v>14</v>
      </c>
      <c r="Q36" s="51">
        <f ca="1" t="shared" si="19"/>
        <v>97</v>
      </c>
      <c r="R36" s="51">
        <f ca="1" t="shared" si="19"/>
        <v>72</v>
      </c>
      <c r="S36" s="51">
        <f ca="1" t="shared" si="19"/>
        <v>138</v>
      </c>
      <c r="T36" s="51">
        <f ca="1" t="shared" si="19"/>
        <v>94</v>
      </c>
      <c r="U36" s="51" t="e">
        <f ca="1" t="shared" si="19"/>
        <v>#N/A</v>
      </c>
      <c r="V36" s="51" t="e">
        <f ca="1" t="shared" si="19"/>
        <v>#N/A</v>
      </c>
      <c r="W36" s="51" t="e">
        <f ca="1" t="shared" si="19"/>
        <v>#N/A</v>
      </c>
    </row>
    <row r="37" spans="1:23" ht="12.75">
      <c r="A37" s="51">
        <f ca="1" t="shared" si="20"/>
        <v>7</v>
      </c>
      <c r="B37" s="51">
        <f ca="1" t="shared" si="20"/>
        <v>7699</v>
      </c>
      <c r="C37" s="51" t="str">
        <f ca="1" t="shared" si="20"/>
        <v>JOACK</v>
      </c>
      <c r="D37" s="51">
        <f ca="1" t="shared" si="21"/>
        <v>82</v>
      </c>
      <c r="E37" s="51">
        <f ca="1" t="shared" si="21"/>
        <v>132</v>
      </c>
      <c r="F37" s="51">
        <f ca="1" t="shared" si="21"/>
        <v>109</v>
      </c>
      <c r="G37" s="51">
        <f ca="1" t="shared" si="21"/>
      </c>
      <c r="H37" s="51">
        <f ca="1" t="shared" si="21"/>
      </c>
      <c r="I37" s="51">
        <f ca="1" t="shared" si="21"/>
      </c>
      <c r="J37" s="51">
        <f ca="1" t="shared" si="21"/>
      </c>
      <c r="K37" s="51">
        <f ca="1" t="shared" si="21"/>
        <v>132</v>
      </c>
      <c r="L37" s="51">
        <f ca="1" t="shared" si="22"/>
        <v>4</v>
      </c>
      <c r="M37" s="51">
        <v>4</v>
      </c>
      <c r="N37" s="51">
        <f ca="1" t="shared" si="18"/>
        <v>3</v>
      </c>
      <c r="O37" s="51">
        <f t="shared" si="23"/>
        <v>7</v>
      </c>
      <c r="Q37" s="51">
        <f ca="1" t="shared" si="19"/>
        <v>82</v>
      </c>
      <c r="R37" s="51">
        <f ca="1" t="shared" si="19"/>
        <v>132</v>
      </c>
      <c r="S37" s="51">
        <f ca="1" t="shared" si="19"/>
        <v>109</v>
      </c>
      <c r="T37" s="51" t="e">
        <f ca="1" t="shared" si="19"/>
        <v>#N/A</v>
      </c>
      <c r="U37" s="51" t="e">
        <f ca="1" t="shared" si="19"/>
        <v>#N/A</v>
      </c>
      <c r="V37" s="51" t="e">
        <f ca="1" t="shared" si="19"/>
        <v>#N/A</v>
      </c>
      <c r="W37" s="51" t="e">
        <f ca="1" t="shared" si="19"/>
        <v>#N/A</v>
      </c>
    </row>
    <row r="38" spans="1:23" ht="12.75">
      <c r="A38" s="51">
        <f ca="1" t="shared" si="20"/>
        <v>5</v>
      </c>
      <c r="B38" s="51">
        <f ca="1" t="shared" si="20"/>
        <v>2206</v>
      </c>
      <c r="C38" s="51" t="str">
        <f ca="1" t="shared" si="20"/>
        <v>Gutbusters</v>
      </c>
      <c r="D38" s="51">
        <f ca="1" t="shared" si="21"/>
        <v>74</v>
      </c>
      <c r="E38" s="51">
        <f ca="1" t="shared" si="21"/>
        <v>87</v>
      </c>
      <c r="F38" s="51">
        <f ca="1" t="shared" si="21"/>
        <v>126</v>
      </c>
      <c r="G38" s="51">
        <f ca="1" t="shared" si="21"/>
        <v>128</v>
      </c>
      <c r="H38" s="51">
        <f ca="1" t="shared" si="21"/>
      </c>
      <c r="I38" s="51">
        <f ca="1" t="shared" si="21"/>
      </c>
      <c r="J38" s="51">
        <f ca="1" t="shared" si="21"/>
      </c>
      <c r="K38" s="51">
        <f ca="1" t="shared" si="21"/>
        <v>128</v>
      </c>
      <c r="L38" s="51">
        <f ca="1" t="shared" si="22"/>
        <v>5</v>
      </c>
      <c r="M38" s="51">
        <v>5</v>
      </c>
      <c r="N38" s="51">
        <f ca="1" t="shared" si="18"/>
        <v>4</v>
      </c>
      <c r="O38" s="51">
        <f t="shared" si="23"/>
        <v>5</v>
      </c>
      <c r="Q38" s="51">
        <f ca="1" t="shared" si="19"/>
        <v>74</v>
      </c>
      <c r="R38" s="51">
        <f ca="1" t="shared" si="19"/>
        <v>87</v>
      </c>
      <c r="S38" s="51">
        <f ca="1" t="shared" si="19"/>
        <v>126</v>
      </c>
      <c r="T38" s="51">
        <f ca="1" t="shared" si="19"/>
        <v>128</v>
      </c>
      <c r="U38" s="51" t="e">
        <f ca="1" t="shared" si="19"/>
        <v>#N/A</v>
      </c>
      <c r="V38" s="51" t="e">
        <f ca="1" t="shared" si="19"/>
        <v>#N/A</v>
      </c>
      <c r="W38" s="51" t="e">
        <f ca="1" t="shared" si="19"/>
        <v>#N/A</v>
      </c>
    </row>
    <row r="39" spans="1:23" ht="12.75">
      <c r="A39" s="51">
        <f ca="1" t="shared" si="20"/>
        <v>10</v>
      </c>
      <c r="B39" s="51">
        <f ca="1" t="shared" si="20"/>
        <v>6134</v>
      </c>
      <c r="C39" s="51" t="str">
        <f ca="1" t="shared" si="20"/>
        <v>Lightning Bots</v>
      </c>
      <c r="D39" s="51">
        <f ca="1" t="shared" si="21"/>
        <v>124</v>
      </c>
      <c r="E39" s="51">
        <f ca="1" t="shared" si="21"/>
        <v>114</v>
      </c>
      <c r="F39" s="51">
        <f ca="1" t="shared" si="21"/>
        <v>120</v>
      </c>
      <c r="G39" s="51">
        <f ca="1" t="shared" si="21"/>
        <v>111</v>
      </c>
      <c r="H39" s="51">
        <f ca="1" t="shared" si="21"/>
      </c>
      <c r="I39" s="51">
        <f ca="1" t="shared" si="21"/>
      </c>
      <c r="J39" s="51">
        <f ca="1" t="shared" si="21"/>
      </c>
      <c r="K39" s="51">
        <f ca="1" t="shared" si="21"/>
        <v>124</v>
      </c>
      <c r="L39" s="51">
        <f ca="1" t="shared" si="22"/>
        <v>6</v>
      </c>
      <c r="M39" s="51">
        <v>6</v>
      </c>
      <c r="N39" s="51">
        <f ca="1" t="shared" si="18"/>
        <v>4</v>
      </c>
      <c r="O39" s="51">
        <f t="shared" si="23"/>
        <v>10</v>
      </c>
      <c r="Q39" s="51">
        <f ca="1" t="shared" si="19"/>
        <v>124</v>
      </c>
      <c r="R39" s="51">
        <f ca="1" t="shared" si="19"/>
        <v>114</v>
      </c>
      <c r="S39" s="51">
        <f ca="1" t="shared" si="19"/>
        <v>120</v>
      </c>
      <c r="T39" s="51">
        <f ca="1" t="shared" si="19"/>
        <v>111</v>
      </c>
      <c r="U39" s="51" t="e">
        <f ca="1" t="shared" si="19"/>
        <v>#N/A</v>
      </c>
      <c r="V39" s="51" t="e">
        <f ca="1" t="shared" si="19"/>
        <v>#N/A</v>
      </c>
      <c r="W39" s="51" t="e">
        <f ca="1" t="shared" si="19"/>
        <v>#N/A</v>
      </c>
    </row>
    <row r="40" spans="1:23" ht="12.75">
      <c r="A40" s="51">
        <f ca="1" t="shared" si="20"/>
        <v>17</v>
      </c>
      <c r="B40" s="51">
        <f ca="1" t="shared" si="20"/>
        <v>5820</v>
      </c>
      <c r="C40" s="51" t="str">
        <f ca="1" t="shared" si="20"/>
        <v>Peaceful Programmers</v>
      </c>
      <c r="D40" s="51">
        <f ca="1" t="shared" si="21"/>
        <v>107</v>
      </c>
      <c r="E40" s="51">
        <f ca="1" t="shared" si="21"/>
        <v>124</v>
      </c>
      <c r="F40" s="51">
        <f ca="1" t="shared" si="21"/>
        <v>95</v>
      </c>
      <c r="G40" s="51">
        <f ca="1" t="shared" si="21"/>
      </c>
      <c r="H40" s="51">
        <f ca="1" t="shared" si="21"/>
      </c>
      <c r="I40" s="51">
        <f ca="1" t="shared" si="21"/>
      </c>
      <c r="J40" s="51">
        <f ca="1" t="shared" si="21"/>
      </c>
      <c r="K40" s="51">
        <f ca="1" t="shared" si="21"/>
        <v>124</v>
      </c>
      <c r="L40" s="51">
        <f ca="1" t="shared" si="22"/>
        <v>7</v>
      </c>
      <c r="M40" s="51">
        <v>7</v>
      </c>
      <c r="N40" s="51">
        <f ca="1" t="shared" si="18"/>
        <v>3</v>
      </c>
      <c r="O40" s="51">
        <f t="shared" si="23"/>
        <v>17</v>
      </c>
      <c r="Q40" s="51">
        <f ca="1" t="shared" si="19"/>
        <v>107</v>
      </c>
      <c r="R40" s="51">
        <f ca="1" t="shared" si="19"/>
        <v>124</v>
      </c>
      <c r="S40" s="51">
        <f ca="1" t="shared" si="19"/>
        <v>95</v>
      </c>
      <c r="T40" s="51" t="e">
        <f ca="1" t="shared" si="19"/>
        <v>#N/A</v>
      </c>
      <c r="U40" s="51" t="e">
        <f ca="1" t="shared" si="19"/>
        <v>#N/A</v>
      </c>
      <c r="V40" s="51" t="e">
        <f ca="1" t="shared" si="19"/>
        <v>#N/A</v>
      </c>
      <c r="W40" s="51" t="e">
        <f ca="1" t="shared" si="19"/>
        <v>#N/A</v>
      </c>
    </row>
    <row r="41" spans="1:23" ht="12.75">
      <c r="A41" s="51">
        <f ca="1" t="shared" si="20"/>
        <v>2</v>
      </c>
      <c r="B41" s="51">
        <f ca="1" t="shared" si="20"/>
        <v>6222</v>
      </c>
      <c r="C41" s="51" t="str">
        <f ca="1" t="shared" si="20"/>
        <v>Adroits</v>
      </c>
      <c r="D41" s="51">
        <f ca="1" t="shared" si="21"/>
        <v>70</v>
      </c>
      <c r="E41" s="51">
        <f ca="1" t="shared" si="21"/>
        <v>85</v>
      </c>
      <c r="F41" s="51">
        <f ca="1" t="shared" si="21"/>
        <v>112</v>
      </c>
      <c r="G41" s="51">
        <f ca="1" t="shared" si="21"/>
      </c>
      <c r="H41" s="51">
        <f ca="1" t="shared" si="21"/>
      </c>
      <c r="I41" s="51">
        <f ca="1" t="shared" si="21"/>
      </c>
      <c r="J41" s="51">
        <f ca="1" t="shared" si="21"/>
      </c>
      <c r="K41" s="51">
        <f ca="1" t="shared" si="21"/>
        <v>112</v>
      </c>
      <c r="L41" s="51">
        <f ca="1" t="shared" si="22"/>
        <v>8</v>
      </c>
      <c r="M41" s="51">
        <v>8</v>
      </c>
      <c r="N41" s="51">
        <f ca="1" t="shared" si="18"/>
        <v>3</v>
      </c>
      <c r="O41" s="51">
        <f t="shared" si="23"/>
        <v>2</v>
      </c>
      <c r="Q41" s="51">
        <f ca="1" t="shared" si="19"/>
        <v>70</v>
      </c>
      <c r="R41" s="51">
        <f ca="1" t="shared" si="19"/>
        <v>85</v>
      </c>
      <c r="S41" s="51">
        <f ca="1" t="shared" si="19"/>
        <v>112</v>
      </c>
      <c r="T41" s="51" t="e">
        <f ca="1" t="shared" si="19"/>
        <v>#N/A</v>
      </c>
      <c r="U41" s="51" t="e">
        <f ca="1" t="shared" si="19"/>
        <v>#N/A</v>
      </c>
      <c r="V41" s="51" t="e">
        <f ca="1" t="shared" si="19"/>
        <v>#N/A</v>
      </c>
      <c r="W41" s="51" t="e">
        <f ca="1" t="shared" si="19"/>
        <v>#N/A</v>
      </c>
    </row>
    <row r="42" spans="1:23" ht="12.75">
      <c r="A42" s="51">
        <f ca="1" t="shared" si="20"/>
        <v>25</v>
      </c>
      <c r="B42" s="51">
        <f ca="1" t="shared" si="20"/>
        <v>10934</v>
      </c>
      <c r="C42" s="51" t="str">
        <f ca="1" t="shared" si="20"/>
        <v>Vikings</v>
      </c>
      <c r="D42" s="51">
        <f ca="1" t="shared" si="21"/>
        <v>79</v>
      </c>
      <c r="E42" s="51">
        <f ca="1" t="shared" si="21"/>
        <v>111</v>
      </c>
      <c r="F42" s="51">
        <f ca="1" t="shared" si="21"/>
        <v>94</v>
      </c>
      <c r="G42" s="51">
        <f ca="1" t="shared" si="21"/>
      </c>
      <c r="H42" s="51">
        <f ca="1" t="shared" si="21"/>
      </c>
      <c r="I42" s="51">
        <f ca="1" t="shared" si="21"/>
      </c>
      <c r="J42" s="51">
        <f ca="1" t="shared" si="21"/>
      </c>
      <c r="K42" s="51">
        <f ca="1" t="shared" si="21"/>
        <v>111</v>
      </c>
      <c r="L42" s="51">
        <f ca="1" t="shared" si="22"/>
        <v>9</v>
      </c>
      <c r="M42" s="51">
        <v>9</v>
      </c>
      <c r="N42" s="51">
        <f ca="1" t="shared" si="18"/>
        <v>3</v>
      </c>
      <c r="O42" s="51">
        <f t="shared" si="23"/>
        <v>25</v>
      </c>
      <c r="Q42" s="51">
        <f ca="1" t="shared" si="19"/>
        <v>79</v>
      </c>
      <c r="R42" s="51">
        <f ca="1" t="shared" si="19"/>
        <v>111</v>
      </c>
      <c r="S42" s="51">
        <f ca="1" t="shared" si="19"/>
        <v>94</v>
      </c>
      <c r="T42" s="51" t="e">
        <f ca="1" t="shared" si="19"/>
        <v>#N/A</v>
      </c>
      <c r="U42" s="51" t="e">
        <f ca="1" t="shared" si="19"/>
        <v>#N/A</v>
      </c>
      <c r="V42" s="51" t="e">
        <f ca="1" t="shared" si="19"/>
        <v>#N/A</v>
      </c>
      <c r="W42" s="51" t="e">
        <f ca="1" t="shared" si="19"/>
        <v>#N/A</v>
      </c>
    </row>
    <row r="43" spans="1:23" ht="12.75">
      <c r="A43" s="51">
        <f ca="1" t="shared" si="20"/>
        <v>19</v>
      </c>
      <c r="B43" s="51">
        <f ca="1" t="shared" si="20"/>
        <v>11271</v>
      </c>
      <c r="C43" s="51" t="str">
        <f ca="1" t="shared" si="20"/>
        <v>Robot-Arbiters</v>
      </c>
      <c r="D43" s="51">
        <f ca="1" t="shared" si="21"/>
        <v>111</v>
      </c>
      <c r="E43" s="51">
        <f ca="1" t="shared" si="21"/>
        <v>90</v>
      </c>
      <c r="F43" s="51">
        <f ca="1" t="shared" si="21"/>
        <v>93</v>
      </c>
      <c r="G43" s="51">
        <f ca="1" t="shared" si="21"/>
      </c>
      <c r="H43" s="51">
        <f ca="1" t="shared" si="21"/>
      </c>
      <c r="I43" s="51">
        <f ca="1" t="shared" si="21"/>
      </c>
      <c r="J43" s="51">
        <f ca="1" t="shared" si="21"/>
      </c>
      <c r="K43" s="51">
        <f ca="1" t="shared" si="21"/>
        <v>111</v>
      </c>
      <c r="L43" s="51">
        <f ca="1" t="shared" si="22"/>
        <v>10</v>
      </c>
      <c r="M43" s="51">
        <v>10</v>
      </c>
      <c r="N43" s="51">
        <f ca="1" t="shared" si="18"/>
        <v>3</v>
      </c>
      <c r="O43" s="51">
        <f t="shared" si="23"/>
        <v>19</v>
      </c>
      <c r="Q43" s="51">
        <f ca="1" t="shared" si="19"/>
        <v>111</v>
      </c>
      <c r="R43" s="51">
        <f ca="1" t="shared" si="19"/>
        <v>90</v>
      </c>
      <c r="S43" s="51">
        <f ca="1" t="shared" si="19"/>
        <v>93</v>
      </c>
      <c r="T43" s="51" t="e">
        <f ca="1" t="shared" si="19"/>
        <v>#N/A</v>
      </c>
      <c r="U43" s="51" t="e">
        <f ca="1" t="shared" si="19"/>
        <v>#N/A</v>
      </c>
      <c r="V43" s="51" t="e">
        <f ca="1" t="shared" si="19"/>
        <v>#N/A</v>
      </c>
      <c r="W43" s="51" t="e">
        <f ca="1" t="shared" si="19"/>
        <v>#N/A</v>
      </c>
    </row>
    <row r="44" spans="1:23" ht="12.75">
      <c r="A44" s="51">
        <f ca="1" t="shared" si="20"/>
        <v>12</v>
      </c>
      <c r="B44" s="51">
        <f ca="1" t="shared" si="20"/>
        <v>8949</v>
      </c>
      <c r="C44" s="51" t="str">
        <f ca="1" t="shared" si="20"/>
        <v>Mechanxt</v>
      </c>
      <c r="D44" s="51">
        <f ca="1" t="shared" si="21"/>
        <v>109</v>
      </c>
      <c r="E44" s="51">
        <f ca="1" t="shared" si="21"/>
        <v>78</v>
      </c>
      <c r="F44" s="51">
        <f ca="1" t="shared" si="21"/>
      </c>
      <c r="G44" s="51">
        <f ca="1" t="shared" si="21"/>
      </c>
      <c r="H44" s="51">
        <f ca="1" t="shared" si="21"/>
      </c>
      <c r="I44" s="51">
        <f ca="1" t="shared" si="21"/>
      </c>
      <c r="J44" s="51">
        <f ca="1" t="shared" si="21"/>
      </c>
      <c r="K44" s="51">
        <f ca="1" t="shared" si="21"/>
        <v>109</v>
      </c>
      <c r="L44" s="51">
        <f ca="1" t="shared" si="22"/>
        <v>11</v>
      </c>
      <c r="M44" s="51">
        <v>11</v>
      </c>
      <c r="N44" s="51">
        <f ca="1" t="shared" si="18"/>
        <v>2</v>
      </c>
      <c r="O44" s="51">
        <f t="shared" si="23"/>
        <v>12</v>
      </c>
      <c r="Q44" s="51">
        <f ca="1" t="shared" si="19"/>
        <v>109</v>
      </c>
      <c r="R44" s="51">
        <f ca="1" t="shared" si="19"/>
        <v>78</v>
      </c>
      <c r="S44" s="51" t="e">
        <f ca="1" t="shared" si="19"/>
        <v>#N/A</v>
      </c>
      <c r="T44" s="51" t="e">
        <f ca="1" t="shared" si="19"/>
        <v>#N/A</v>
      </c>
      <c r="U44" s="51" t="e">
        <f ca="1" t="shared" si="19"/>
        <v>#N/A</v>
      </c>
      <c r="V44" s="51" t="e">
        <f ca="1" t="shared" si="19"/>
        <v>#N/A</v>
      </c>
      <c r="W44" s="51" t="e">
        <f ca="1" t="shared" si="19"/>
        <v>#N/A</v>
      </c>
    </row>
    <row r="45" spans="1:23" ht="12.75">
      <c r="A45" s="51">
        <f ca="1" t="shared" si="20"/>
        <v>9</v>
      </c>
      <c r="B45" s="51">
        <f ca="1" t="shared" si="20"/>
        <v>6996</v>
      </c>
      <c r="C45" s="51" t="str">
        <f ca="1" t="shared" si="20"/>
        <v>Lego Lightning</v>
      </c>
      <c r="D45" s="51">
        <f ca="1" t="shared" si="21"/>
        <v>107</v>
      </c>
      <c r="E45" s="51">
        <f ca="1" t="shared" si="21"/>
        <v>81</v>
      </c>
      <c r="F45" s="51">
        <f ca="1" t="shared" si="21"/>
        <v>100</v>
      </c>
      <c r="G45" s="51">
        <f ca="1" t="shared" si="21"/>
      </c>
      <c r="H45" s="51">
        <f ca="1" t="shared" si="21"/>
      </c>
      <c r="I45" s="51">
        <f ca="1" t="shared" si="21"/>
      </c>
      <c r="J45" s="51">
        <f ca="1" t="shared" si="21"/>
      </c>
      <c r="K45" s="51">
        <f ca="1" t="shared" si="21"/>
        <v>107</v>
      </c>
      <c r="L45" s="51">
        <f ca="1" t="shared" si="22"/>
        <v>12</v>
      </c>
      <c r="M45" s="51">
        <v>12</v>
      </c>
      <c r="N45" s="51">
        <f ca="1" t="shared" si="18"/>
        <v>3</v>
      </c>
      <c r="O45" s="51">
        <f t="shared" si="23"/>
        <v>9</v>
      </c>
      <c r="Q45" s="51">
        <f ca="1" t="shared" si="19"/>
        <v>107</v>
      </c>
      <c r="R45" s="51">
        <f ca="1" t="shared" si="19"/>
        <v>81</v>
      </c>
      <c r="S45" s="51">
        <f ca="1" t="shared" si="19"/>
        <v>100</v>
      </c>
      <c r="T45" s="51" t="e">
        <f ca="1" t="shared" si="19"/>
        <v>#N/A</v>
      </c>
      <c r="U45" s="51" t="e">
        <f ca="1" t="shared" si="19"/>
        <v>#N/A</v>
      </c>
      <c r="V45" s="51" t="e">
        <f ca="1" t="shared" si="19"/>
        <v>#N/A</v>
      </c>
      <c r="W45" s="51" t="e">
        <f ca="1" t="shared" si="19"/>
        <v>#N/A</v>
      </c>
    </row>
    <row r="46" spans="1:23" ht="12.75">
      <c r="A46" s="51">
        <f ca="1" t="shared" si="20"/>
        <v>1</v>
      </c>
      <c r="B46" s="51">
        <f ca="1" t="shared" si="20"/>
        <v>8947</v>
      </c>
      <c r="C46" s="51" t="str">
        <f ca="1" t="shared" si="20"/>
        <v>40 Loyola SAPlings</v>
      </c>
      <c r="D46" s="51">
        <f ca="1" t="shared" si="21"/>
        <v>103</v>
      </c>
      <c r="E46" s="51">
        <f ca="1" t="shared" si="21"/>
        <v>79</v>
      </c>
      <c r="F46" s="51">
        <f ca="1" t="shared" si="21"/>
        <v>80</v>
      </c>
      <c r="G46" s="51">
        <f ca="1" t="shared" si="21"/>
      </c>
      <c r="H46" s="51">
        <f ca="1" t="shared" si="21"/>
      </c>
      <c r="I46" s="51">
        <f ca="1" t="shared" si="21"/>
      </c>
      <c r="J46" s="51">
        <f ca="1" t="shared" si="21"/>
      </c>
      <c r="K46" s="51">
        <f ca="1" t="shared" si="21"/>
        <v>103</v>
      </c>
      <c r="L46" s="51">
        <f ca="1" t="shared" si="22"/>
        <v>13</v>
      </c>
      <c r="M46" s="51">
        <v>13</v>
      </c>
      <c r="N46" s="51">
        <f ca="1" t="shared" si="18"/>
        <v>3</v>
      </c>
      <c r="O46" s="51">
        <f t="shared" si="23"/>
        <v>1</v>
      </c>
      <c r="Q46" s="51">
        <f ca="1" t="shared" si="19"/>
        <v>103</v>
      </c>
      <c r="R46" s="51">
        <f ca="1" t="shared" si="19"/>
        <v>79</v>
      </c>
      <c r="S46" s="51">
        <f ca="1" t="shared" si="19"/>
        <v>80</v>
      </c>
      <c r="T46" s="51" t="e">
        <f ca="1" t="shared" si="19"/>
        <v>#N/A</v>
      </c>
      <c r="U46" s="51" t="e">
        <f ca="1" t="shared" si="19"/>
        <v>#N/A</v>
      </c>
      <c r="V46" s="51" t="e">
        <f ca="1" t="shared" si="19"/>
        <v>#N/A</v>
      </c>
      <c r="W46" s="51" t="e">
        <f ca="1" t="shared" si="19"/>
        <v>#N/A</v>
      </c>
    </row>
    <row r="47" spans="1:23" ht="12.75">
      <c r="A47" s="51">
        <f ca="1" t="shared" si="20"/>
        <v>16</v>
      </c>
      <c r="B47" s="51">
        <f ca="1" t="shared" si="20"/>
        <v>4640</v>
      </c>
      <c r="C47" s="51" t="str">
        <f ca="1" t="shared" si="20"/>
        <v>N-Knacks-T</v>
      </c>
      <c r="D47" s="51">
        <f ca="1" t="shared" si="21"/>
        <v>61</v>
      </c>
      <c r="E47" s="51">
        <f ca="1" t="shared" si="21"/>
        <v>101</v>
      </c>
      <c r="F47" s="51">
        <f ca="1" t="shared" si="21"/>
        <v>73</v>
      </c>
      <c r="G47" s="51">
        <f ca="1" t="shared" si="21"/>
        <v>76</v>
      </c>
      <c r="H47" s="51">
        <f ca="1" t="shared" si="21"/>
      </c>
      <c r="I47" s="51">
        <f ca="1" t="shared" si="21"/>
      </c>
      <c r="J47" s="51">
        <f ca="1" t="shared" si="21"/>
      </c>
      <c r="K47" s="51">
        <f ca="1" t="shared" si="21"/>
        <v>101</v>
      </c>
      <c r="L47" s="51">
        <f ca="1" t="shared" si="21"/>
        <v>14</v>
      </c>
      <c r="M47" s="51">
        <v>14</v>
      </c>
      <c r="N47" s="51">
        <f ca="1" t="shared" si="18"/>
        <v>4</v>
      </c>
      <c r="O47" s="51">
        <f t="shared" si="23"/>
        <v>16</v>
      </c>
      <c r="Q47" s="51">
        <f ca="1" t="shared" si="19"/>
        <v>61</v>
      </c>
      <c r="R47" s="51">
        <f ca="1" t="shared" si="19"/>
        <v>101</v>
      </c>
      <c r="S47" s="51">
        <f ca="1" t="shared" si="19"/>
        <v>73</v>
      </c>
      <c r="T47" s="51">
        <f ca="1" t="shared" si="19"/>
        <v>76</v>
      </c>
      <c r="U47" s="51" t="e">
        <f ca="1" t="shared" si="19"/>
        <v>#N/A</v>
      </c>
      <c r="V47" s="51" t="e">
        <f ca="1" t="shared" si="19"/>
        <v>#N/A</v>
      </c>
      <c r="W47" s="51" t="e">
        <f ca="1" t="shared" si="19"/>
        <v>#N/A</v>
      </c>
    </row>
    <row r="48" spans="1:23" ht="12.75">
      <c r="A48" s="51">
        <f ca="1" t="shared" si="20"/>
        <v>20</v>
      </c>
      <c r="B48" s="51">
        <f ca="1" t="shared" si="20"/>
        <v>8717</v>
      </c>
      <c r="C48" s="51" t="str">
        <f ca="1" t="shared" si="20"/>
        <v>Robotic Ravioli</v>
      </c>
      <c r="D48" s="51">
        <f ca="1" t="shared" si="21"/>
        <v>83</v>
      </c>
      <c r="E48" s="51">
        <f ca="1" t="shared" si="21"/>
        <v>100</v>
      </c>
      <c r="F48" s="51">
        <f ca="1" t="shared" si="21"/>
        <v>79</v>
      </c>
      <c r="G48" s="51">
        <f ca="1" t="shared" si="21"/>
      </c>
      <c r="H48" s="51">
        <f ca="1" t="shared" si="21"/>
      </c>
      <c r="I48" s="51">
        <f ca="1" t="shared" si="21"/>
      </c>
      <c r="J48" s="51">
        <f ca="1" t="shared" si="21"/>
      </c>
      <c r="K48" s="51">
        <f ca="1" t="shared" si="21"/>
        <v>100</v>
      </c>
      <c r="L48" s="51">
        <f ca="1" t="shared" si="21"/>
        <v>15</v>
      </c>
      <c r="M48" s="51">
        <v>15</v>
      </c>
      <c r="N48" s="51">
        <f ca="1" t="shared" si="18"/>
        <v>3</v>
      </c>
      <c r="O48" s="51">
        <f t="shared" si="23"/>
        <v>20</v>
      </c>
      <c r="Q48" s="51">
        <f ca="1" t="shared" si="19"/>
        <v>83</v>
      </c>
      <c r="R48" s="51">
        <f ca="1" t="shared" si="19"/>
        <v>100</v>
      </c>
      <c r="S48" s="51">
        <f ca="1" t="shared" si="19"/>
        <v>79</v>
      </c>
      <c r="T48" s="51" t="e">
        <f ca="1" t="shared" si="19"/>
        <v>#N/A</v>
      </c>
      <c r="U48" s="51" t="e">
        <f ca="1" t="shared" si="19"/>
        <v>#N/A</v>
      </c>
      <c r="V48" s="51" t="e">
        <f ca="1" t="shared" si="19"/>
        <v>#N/A</v>
      </c>
      <c r="W48" s="51" t="e">
        <f ca="1" t="shared" si="19"/>
        <v>#N/A</v>
      </c>
    </row>
    <row r="49" spans="1:23" ht="12.75">
      <c r="A49" s="51">
        <f ca="1" t="shared" si="20"/>
        <v>8</v>
      </c>
      <c r="B49" s="51">
        <f ca="1" t="shared" si="20"/>
        <v>6373</v>
      </c>
      <c r="C49" s="51" t="str">
        <f ca="1" t="shared" si="20"/>
        <v>Kung Food</v>
      </c>
      <c r="D49" s="51">
        <f ca="1" t="shared" si="21"/>
        <v>82</v>
      </c>
      <c r="E49" s="51">
        <f ca="1" t="shared" si="21"/>
        <v>97</v>
      </c>
      <c r="F49" s="51">
        <f ca="1" t="shared" si="21"/>
        <v>91</v>
      </c>
      <c r="G49" s="51">
        <f ca="1" t="shared" si="21"/>
      </c>
      <c r="H49" s="51">
        <f ca="1" t="shared" si="21"/>
      </c>
      <c r="I49" s="51">
        <f ca="1" t="shared" si="21"/>
      </c>
      <c r="J49" s="51">
        <f ca="1" t="shared" si="21"/>
      </c>
      <c r="K49" s="51">
        <f ca="1" t="shared" si="21"/>
        <v>97</v>
      </c>
      <c r="L49" s="51">
        <f ca="1" t="shared" si="21"/>
        <v>16</v>
      </c>
      <c r="M49" s="51">
        <v>16</v>
      </c>
      <c r="N49" s="51">
        <f ca="1" t="shared" si="18"/>
        <v>3</v>
      </c>
      <c r="O49" s="51">
        <f t="shared" si="23"/>
        <v>8</v>
      </c>
      <c r="Q49" s="51">
        <f ca="1" t="shared" si="19"/>
        <v>82</v>
      </c>
      <c r="R49" s="51">
        <f ca="1" t="shared" si="19"/>
        <v>97</v>
      </c>
      <c r="S49" s="51">
        <f ca="1" t="shared" si="19"/>
        <v>91</v>
      </c>
      <c r="T49" s="51" t="e">
        <f ca="1" t="shared" si="19"/>
        <v>#N/A</v>
      </c>
      <c r="U49" s="51" t="e">
        <f ca="1" t="shared" si="19"/>
        <v>#N/A</v>
      </c>
      <c r="V49" s="51" t="e">
        <f ca="1" t="shared" si="19"/>
        <v>#N/A</v>
      </c>
      <c r="W49" s="51" t="e">
        <f ca="1" t="shared" si="19"/>
        <v>#N/A</v>
      </c>
    </row>
    <row r="50" spans="1:23" ht="12.75">
      <c r="A50" s="51">
        <f ca="1" t="shared" si="20"/>
        <v>21</v>
      </c>
      <c r="B50" s="51">
        <f ca="1" t="shared" si="20"/>
        <v>6949</v>
      </c>
      <c r="C50" s="51" t="str">
        <f ca="1" t="shared" si="20"/>
        <v>SAP Explorers</v>
      </c>
      <c r="D50" s="51">
        <f ca="1" t="shared" si="20"/>
        <v>75</v>
      </c>
      <c r="E50" s="51">
        <f ca="1" t="shared" si="20"/>
        <v>96</v>
      </c>
      <c r="F50" s="51">
        <f ca="1" t="shared" si="20"/>
      </c>
      <c r="G50" s="51">
        <f ca="1" t="shared" si="20"/>
      </c>
      <c r="H50" s="51">
        <f ca="1" t="shared" si="20"/>
      </c>
      <c r="I50" s="51">
        <f ca="1" t="shared" si="20"/>
      </c>
      <c r="J50" s="51">
        <f ca="1" t="shared" si="20"/>
      </c>
      <c r="K50" s="51">
        <f ca="1" t="shared" si="20"/>
        <v>96</v>
      </c>
      <c r="L50" s="51">
        <f ca="1" t="shared" si="20"/>
        <v>17</v>
      </c>
      <c r="M50" s="51">
        <v>17</v>
      </c>
      <c r="N50" s="51">
        <f aca="true" ca="1" t="shared" si="24" ref="N50:N63">OFFSET(N$1,$O50,0)</f>
        <v>2</v>
      </c>
      <c r="O50" s="51">
        <f t="shared" si="23"/>
        <v>21</v>
      </c>
      <c r="Q50" s="51">
        <f aca="true" ca="1" t="shared" si="25" ref="Q50:W63">OFFSET(Q$1,$O50,0)</f>
        <v>75</v>
      </c>
      <c r="R50" s="51">
        <f ca="1" t="shared" si="25"/>
        <v>96</v>
      </c>
      <c r="S50" s="51" t="e">
        <f ca="1" t="shared" si="25"/>
        <v>#N/A</v>
      </c>
      <c r="T50" s="51" t="e">
        <f ca="1" t="shared" si="25"/>
        <v>#N/A</v>
      </c>
      <c r="U50" s="51" t="e">
        <f ca="1" t="shared" si="25"/>
        <v>#N/A</v>
      </c>
      <c r="V50" s="51" t="e">
        <f ca="1" t="shared" si="25"/>
        <v>#N/A</v>
      </c>
      <c r="W50" s="51" t="e">
        <f ca="1" t="shared" si="25"/>
        <v>#N/A</v>
      </c>
    </row>
    <row r="51" spans="1:23" ht="12.75">
      <c r="A51" s="51">
        <f ca="1" t="shared" si="20"/>
        <v>18</v>
      </c>
      <c r="B51" s="51">
        <f ca="1" t="shared" si="20"/>
        <v>7171</v>
      </c>
      <c r="C51" s="51" t="str">
        <f ca="1" t="shared" si="20"/>
        <v>robokids</v>
      </c>
      <c r="D51" s="51">
        <f ca="1" t="shared" si="20"/>
        <v>93</v>
      </c>
      <c r="E51" s="51">
        <f ca="1" t="shared" si="20"/>
        <v>87</v>
      </c>
      <c r="F51" s="51">
        <f ca="1" t="shared" si="20"/>
        <v>86</v>
      </c>
      <c r="G51" s="51">
        <f ca="1" t="shared" si="20"/>
      </c>
      <c r="H51" s="51">
        <f ca="1" t="shared" si="20"/>
      </c>
      <c r="I51" s="51">
        <f ca="1" t="shared" si="20"/>
      </c>
      <c r="J51" s="51">
        <f ca="1" t="shared" si="20"/>
      </c>
      <c r="K51" s="51">
        <f ca="1" t="shared" si="20"/>
        <v>93</v>
      </c>
      <c r="L51" s="51">
        <f ca="1" t="shared" si="20"/>
        <v>18</v>
      </c>
      <c r="M51" s="51">
        <v>18</v>
      </c>
      <c r="N51" s="51">
        <f ca="1" t="shared" si="24"/>
        <v>3</v>
      </c>
      <c r="O51" s="51">
        <f t="shared" si="23"/>
        <v>18</v>
      </c>
      <c r="Q51" s="51">
        <f ca="1" t="shared" si="25"/>
        <v>93</v>
      </c>
      <c r="R51" s="51">
        <f ca="1" t="shared" si="25"/>
        <v>87</v>
      </c>
      <c r="S51" s="51">
        <f ca="1" t="shared" si="25"/>
        <v>86</v>
      </c>
      <c r="T51" s="51" t="e">
        <f ca="1" t="shared" si="25"/>
        <v>#N/A</v>
      </c>
      <c r="U51" s="51" t="e">
        <f ca="1" t="shared" si="25"/>
        <v>#N/A</v>
      </c>
      <c r="V51" s="51" t="e">
        <f ca="1" t="shared" si="25"/>
        <v>#N/A</v>
      </c>
      <c r="W51" s="51" t="e">
        <f ca="1" t="shared" si="25"/>
        <v>#N/A</v>
      </c>
    </row>
    <row r="52" spans="1:23" ht="12.75">
      <c r="A52" s="51">
        <f ca="1" t="shared" si="20"/>
        <v>26</v>
      </c>
      <c r="B52" s="51">
        <f ca="1" t="shared" si="20"/>
        <v>9663</v>
      </c>
      <c r="C52" s="51" t="str">
        <f ca="1" t="shared" si="20"/>
        <v>Xtreme Creators</v>
      </c>
      <c r="D52" s="51">
        <f ca="1" t="shared" si="20"/>
        <v>80</v>
      </c>
      <c r="E52" s="51">
        <f ca="1" t="shared" si="20"/>
        <v>76</v>
      </c>
      <c r="F52" s="51">
        <f ca="1" t="shared" si="20"/>
        <v>76</v>
      </c>
      <c r="G52" s="51">
        <f ca="1" t="shared" si="20"/>
        <v>93</v>
      </c>
      <c r="H52" s="51">
        <f ca="1" t="shared" si="20"/>
      </c>
      <c r="I52" s="51">
        <f ca="1" t="shared" si="20"/>
      </c>
      <c r="J52" s="51">
        <f ca="1" t="shared" si="20"/>
      </c>
      <c r="K52" s="51">
        <f ca="1" t="shared" si="20"/>
        <v>93</v>
      </c>
      <c r="L52" s="51">
        <f ca="1" t="shared" si="20"/>
        <v>19</v>
      </c>
      <c r="M52" s="51">
        <v>19</v>
      </c>
      <c r="N52" s="51">
        <f ca="1" t="shared" si="24"/>
        <v>4</v>
      </c>
      <c r="O52" s="51">
        <f t="shared" si="23"/>
        <v>26</v>
      </c>
      <c r="Q52" s="51">
        <f ca="1" t="shared" si="25"/>
        <v>80</v>
      </c>
      <c r="R52" s="51">
        <f ca="1" t="shared" si="25"/>
        <v>76</v>
      </c>
      <c r="S52" s="51">
        <f ca="1" t="shared" si="25"/>
        <v>76</v>
      </c>
      <c r="T52" s="51">
        <f ca="1" t="shared" si="25"/>
        <v>93</v>
      </c>
      <c r="U52" s="51" t="e">
        <f ca="1" t="shared" si="25"/>
        <v>#N/A</v>
      </c>
      <c r="V52" s="51" t="e">
        <f ca="1" t="shared" si="25"/>
        <v>#N/A</v>
      </c>
      <c r="W52" s="51" t="e">
        <f ca="1" t="shared" si="25"/>
        <v>#N/A</v>
      </c>
    </row>
    <row r="53" spans="1:23" ht="12.75">
      <c r="A53" s="51">
        <f ca="1" t="shared" si="20"/>
        <v>6</v>
      </c>
      <c r="B53" s="51">
        <f ca="1" t="shared" si="20"/>
        <v>3927</v>
      </c>
      <c r="C53" s="51" t="str">
        <f ca="1" t="shared" si="20"/>
        <v>Hazardous Waste</v>
      </c>
      <c r="D53" s="51">
        <f ca="1" t="shared" si="20"/>
        <v>93</v>
      </c>
      <c r="E53" s="51">
        <f ca="1" t="shared" si="20"/>
        <v>64</v>
      </c>
      <c r="F53" s="51">
        <f ca="1" t="shared" si="20"/>
        <v>80</v>
      </c>
      <c r="G53" s="51">
        <f ca="1" t="shared" si="20"/>
      </c>
      <c r="H53" s="51">
        <f ca="1" t="shared" si="20"/>
      </c>
      <c r="I53" s="51">
        <f ca="1" t="shared" si="20"/>
      </c>
      <c r="J53" s="51">
        <f ca="1" t="shared" si="20"/>
      </c>
      <c r="K53" s="51">
        <f ca="1" t="shared" si="20"/>
        <v>93</v>
      </c>
      <c r="L53" s="51">
        <f ca="1" t="shared" si="20"/>
        <v>20</v>
      </c>
      <c r="M53" s="51">
        <v>20</v>
      </c>
      <c r="N53" s="51">
        <f ca="1" t="shared" si="24"/>
        <v>3</v>
      </c>
      <c r="O53" s="51">
        <f t="shared" si="23"/>
        <v>6</v>
      </c>
      <c r="Q53" s="51">
        <f ca="1" t="shared" si="25"/>
        <v>93</v>
      </c>
      <c r="R53" s="51">
        <f ca="1" t="shared" si="25"/>
        <v>64</v>
      </c>
      <c r="S53" s="51">
        <f ca="1" t="shared" si="25"/>
        <v>80</v>
      </c>
      <c r="T53" s="51" t="e">
        <f ca="1" t="shared" si="25"/>
        <v>#N/A</v>
      </c>
      <c r="U53" s="51" t="e">
        <f ca="1" t="shared" si="25"/>
        <v>#N/A</v>
      </c>
      <c r="V53" s="51" t="e">
        <f ca="1" t="shared" si="25"/>
        <v>#N/A</v>
      </c>
      <c r="W53" s="51" t="e">
        <f ca="1" t="shared" si="25"/>
        <v>#N/A</v>
      </c>
    </row>
    <row r="54" spans="1:23" ht="12.75">
      <c r="A54" s="51">
        <f ca="1" t="shared" si="20"/>
        <v>11</v>
      </c>
      <c r="B54" s="51">
        <f ca="1" t="shared" si="20"/>
        <v>3583</v>
      </c>
      <c r="C54" s="51" t="str">
        <f ca="1" t="shared" si="20"/>
        <v>Mat Scientists</v>
      </c>
      <c r="D54" s="51">
        <f ca="1" t="shared" si="20"/>
        <v>87</v>
      </c>
      <c r="E54" s="51">
        <f ca="1" t="shared" si="20"/>
        <v>82</v>
      </c>
      <c r="F54" s="51">
        <f ca="1" t="shared" si="20"/>
        <v>89</v>
      </c>
      <c r="G54" s="51">
        <f ca="1" t="shared" si="20"/>
      </c>
      <c r="H54" s="51">
        <f ca="1" t="shared" si="20"/>
      </c>
      <c r="I54" s="51">
        <f ca="1" t="shared" si="20"/>
      </c>
      <c r="J54" s="51">
        <f ca="1" t="shared" si="20"/>
      </c>
      <c r="K54" s="51">
        <f ca="1" t="shared" si="20"/>
        <v>89</v>
      </c>
      <c r="L54" s="51">
        <f ca="1" t="shared" si="20"/>
        <v>21</v>
      </c>
      <c r="M54" s="51">
        <v>21</v>
      </c>
      <c r="N54" s="51">
        <f ca="1" t="shared" si="24"/>
        <v>3</v>
      </c>
      <c r="O54" s="51">
        <f t="shared" si="23"/>
        <v>11</v>
      </c>
      <c r="Q54" s="51">
        <f ca="1" t="shared" si="25"/>
        <v>87</v>
      </c>
      <c r="R54" s="51">
        <f ca="1" t="shared" si="25"/>
        <v>82</v>
      </c>
      <c r="S54" s="51">
        <f ca="1" t="shared" si="25"/>
        <v>89</v>
      </c>
      <c r="T54" s="51" t="e">
        <f ca="1" t="shared" si="25"/>
        <v>#N/A</v>
      </c>
      <c r="U54" s="51" t="e">
        <f ca="1" t="shared" si="25"/>
        <v>#N/A</v>
      </c>
      <c r="V54" s="51" t="e">
        <f ca="1" t="shared" si="25"/>
        <v>#N/A</v>
      </c>
      <c r="W54" s="51" t="e">
        <f ca="1" t="shared" si="25"/>
        <v>#N/A</v>
      </c>
    </row>
    <row r="55" spans="1:23" ht="12.75">
      <c r="A55" s="51">
        <f ca="1" t="shared" si="20"/>
        <v>22</v>
      </c>
      <c r="B55" s="51">
        <f ca="1" t="shared" si="20"/>
        <v>6195</v>
      </c>
      <c r="C55" s="51" t="str">
        <f ca="1" t="shared" si="20"/>
        <v>SAPP0WER4</v>
      </c>
      <c r="D55" s="51">
        <f ca="1" t="shared" si="20"/>
        <v>86</v>
      </c>
      <c r="E55" s="51">
        <f ca="1" t="shared" si="20"/>
        <v>86</v>
      </c>
      <c r="F55" s="51">
        <f ca="1" t="shared" si="20"/>
      </c>
      <c r="G55" s="51">
        <f ca="1" t="shared" si="20"/>
      </c>
      <c r="H55" s="51">
        <f ca="1" t="shared" si="20"/>
      </c>
      <c r="I55" s="51">
        <f ca="1" t="shared" si="20"/>
      </c>
      <c r="J55" s="51">
        <f ca="1" t="shared" si="20"/>
      </c>
      <c r="K55" s="51">
        <f ca="1" t="shared" si="20"/>
        <v>86</v>
      </c>
      <c r="L55" s="51">
        <f ca="1" t="shared" si="20"/>
        <v>22</v>
      </c>
      <c r="M55" s="51">
        <v>22</v>
      </c>
      <c r="N55" s="51">
        <f ca="1" t="shared" si="24"/>
        <v>2</v>
      </c>
      <c r="O55" s="51">
        <f t="shared" si="23"/>
        <v>22</v>
      </c>
      <c r="Q55" s="51">
        <f ca="1" t="shared" si="25"/>
        <v>86</v>
      </c>
      <c r="R55" s="51">
        <f ca="1" t="shared" si="25"/>
        <v>86</v>
      </c>
      <c r="S55" s="51" t="e">
        <f ca="1" t="shared" si="25"/>
        <v>#N/A</v>
      </c>
      <c r="T55" s="51" t="e">
        <f ca="1" t="shared" si="25"/>
        <v>#N/A</v>
      </c>
      <c r="U55" s="51" t="e">
        <f ca="1" t="shared" si="25"/>
        <v>#N/A</v>
      </c>
      <c r="V55" s="51" t="e">
        <f ca="1" t="shared" si="25"/>
        <v>#N/A</v>
      </c>
      <c r="W55" s="51" t="e">
        <f ca="1" t="shared" si="25"/>
        <v>#N/A</v>
      </c>
    </row>
    <row r="56" spans="1:23" ht="12.75">
      <c r="A56" s="51">
        <f ca="1" t="shared" si="20"/>
        <v>23</v>
      </c>
      <c r="B56" s="51">
        <f ca="1" t="shared" si="20"/>
        <v>11561</v>
      </c>
      <c r="C56" s="51" t="str">
        <f ca="1" t="shared" si="20"/>
        <v>Smart Cookies</v>
      </c>
      <c r="D56" s="51">
        <f ca="1" t="shared" si="20"/>
        <v>57</v>
      </c>
      <c r="E56" s="51">
        <f ca="1" t="shared" si="20"/>
        <v>69</v>
      </c>
      <c r="F56" s="51">
        <f ca="1" t="shared" si="20"/>
        <v>83</v>
      </c>
      <c r="G56" s="51">
        <f ca="1" t="shared" si="20"/>
      </c>
      <c r="H56" s="51">
        <f ca="1" t="shared" si="20"/>
      </c>
      <c r="I56" s="51">
        <f ca="1" t="shared" si="20"/>
      </c>
      <c r="J56" s="51">
        <f ca="1" t="shared" si="20"/>
      </c>
      <c r="K56" s="51">
        <f ca="1" t="shared" si="20"/>
        <v>83</v>
      </c>
      <c r="L56" s="51">
        <f ca="1" t="shared" si="20"/>
        <v>23</v>
      </c>
      <c r="M56" s="51">
        <v>23</v>
      </c>
      <c r="N56" s="51">
        <f ca="1" t="shared" si="24"/>
        <v>3</v>
      </c>
      <c r="O56" s="51">
        <f t="shared" si="23"/>
        <v>23</v>
      </c>
      <c r="Q56" s="51">
        <f ca="1" t="shared" si="25"/>
        <v>57</v>
      </c>
      <c r="R56" s="51">
        <f ca="1" t="shared" si="25"/>
        <v>69</v>
      </c>
      <c r="S56" s="51">
        <f ca="1" t="shared" si="25"/>
        <v>83</v>
      </c>
      <c r="T56" s="51" t="e">
        <f ca="1" t="shared" si="25"/>
        <v>#N/A</v>
      </c>
      <c r="U56" s="51" t="e">
        <f ca="1" t="shared" si="25"/>
        <v>#N/A</v>
      </c>
      <c r="V56" s="51" t="e">
        <f ca="1" t="shared" si="25"/>
        <v>#N/A</v>
      </c>
      <c r="W56" s="51" t="e">
        <f ca="1" t="shared" si="25"/>
        <v>#N/A</v>
      </c>
    </row>
    <row r="57" spans="1:23" ht="12.75">
      <c r="A57" s="51">
        <f ca="1" t="shared" si="20"/>
        <v>27</v>
      </c>
      <c r="B57" s="51">
        <f ca="1" t="shared" si="20"/>
        <v>3447</v>
      </c>
      <c r="C57" s="51" t="str">
        <f ca="1" t="shared" si="20"/>
        <v>Robotics space girls</v>
      </c>
      <c r="D57" s="51">
        <f ca="1" t="shared" si="20"/>
        <v>58</v>
      </c>
      <c r="E57" s="51">
        <f ca="1" t="shared" si="20"/>
        <v>77</v>
      </c>
      <c r="F57" s="51">
        <f ca="1" t="shared" si="20"/>
        <v>65</v>
      </c>
      <c r="G57" s="51">
        <f ca="1" t="shared" si="20"/>
      </c>
      <c r="H57" s="51">
        <f ca="1" t="shared" si="20"/>
      </c>
      <c r="I57" s="51">
        <f ca="1" t="shared" si="20"/>
      </c>
      <c r="J57" s="51">
        <f ca="1" t="shared" si="20"/>
      </c>
      <c r="K57" s="51">
        <f ca="1" t="shared" si="20"/>
        <v>77</v>
      </c>
      <c r="L57" s="51">
        <f ca="1" t="shared" si="20"/>
        <v>24</v>
      </c>
      <c r="M57" s="51">
        <v>24</v>
      </c>
      <c r="N57" s="51">
        <f ca="1" t="shared" si="24"/>
        <v>3</v>
      </c>
      <c r="O57" s="51">
        <f t="shared" si="23"/>
        <v>27</v>
      </c>
      <c r="Q57" s="51">
        <f ca="1" t="shared" si="25"/>
        <v>58</v>
      </c>
      <c r="R57" s="51">
        <f ca="1" t="shared" si="25"/>
        <v>77</v>
      </c>
      <c r="S57" s="51">
        <f ca="1" t="shared" si="25"/>
        <v>65</v>
      </c>
      <c r="T57" s="51" t="e">
        <f ca="1" t="shared" si="25"/>
        <v>#N/A</v>
      </c>
      <c r="U57" s="51" t="e">
        <f ca="1" t="shared" si="25"/>
        <v>#N/A</v>
      </c>
      <c r="V57" s="51" t="e">
        <f ca="1" t="shared" si="25"/>
        <v>#N/A</v>
      </c>
      <c r="W57" s="51" t="e">
        <f ca="1" t="shared" si="25"/>
        <v>#N/A</v>
      </c>
    </row>
    <row r="58" spans="1:23" ht="12.75">
      <c r="A58" s="51">
        <f ca="1" t="shared" si="20"/>
        <v>15</v>
      </c>
      <c r="B58" s="51">
        <f ca="1" t="shared" si="20"/>
        <v>12440</v>
      </c>
      <c r="C58" s="51" t="str">
        <f ca="1" t="shared" si="20"/>
        <v>Nano-bugs</v>
      </c>
      <c r="D58" s="51">
        <f ca="1" t="shared" si="20"/>
        <v>54</v>
      </c>
      <c r="E58" s="51">
        <f ca="1" t="shared" si="20"/>
        <v>74</v>
      </c>
      <c r="F58" s="51">
        <f ca="1" t="shared" si="20"/>
        <v>61</v>
      </c>
      <c r="G58" s="51">
        <f ca="1" t="shared" si="20"/>
      </c>
      <c r="H58" s="51">
        <f ca="1" t="shared" si="20"/>
      </c>
      <c r="I58" s="51">
        <f ca="1" t="shared" si="20"/>
      </c>
      <c r="J58" s="51">
        <f ca="1" t="shared" si="20"/>
      </c>
      <c r="K58" s="51">
        <f ca="1" t="shared" si="20"/>
        <v>74</v>
      </c>
      <c r="L58" s="51">
        <f ca="1" t="shared" si="20"/>
        <v>25</v>
      </c>
      <c r="M58" s="51">
        <v>25</v>
      </c>
      <c r="N58" s="51">
        <f ca="1" t="shared" si="24"/>
        <v>3</v>
      </c>
      <c r="O58" s="51">
        <f t="shared" si="23"/>
        <v>15</v>
      </c>
      <c r="Q58" s="51">
        <f ca="1" t="shared" si="25"/>
        <v>54</v>
      </c>
      <c r="R58" s="51">
        <f ca="1" t="shared" si="25"/>
        <v>74</v>
      </c>
      <c r="S58" s="51">
        <f ca="1" t="shared" si="25"/>
        <v>61</v>
      </c>
      <c r="T58" s="51" t="e">
        <f ca="1" t="shared" si="25"/>
        <v>#N/A</v>
      </c>
      <c r="U58" s="51" t="e">
        <f ca="1" t="shared" si="25"/>
        <v>#N/A</v>
      </c>
      <c r="V58" s="51" t="e">
        <f ca="1" t="shared" si="25"/>
        <v>#N/A</v>
      </c>
      <c r="W58" s="51" t="e">
        <f ca="1" t="shared" si="25"/>
        <v>#N/A</v>
      </c>
    </row>
    <row r="59" spans="1:23" ht="12.75">
      <c r="A59" s="51">
        <f ca="1" t="shared" si="20"/>
        <v>4</v>
      </c>
      <c r="B59" s="51">
        <f ca="1" t="shared" si="20"/>
        <v>0</v>
      </c>
      <c r="C59" s="51" t="str">
        <f ca="1" t="shared" si="20"/>
        <v>-</v>
      </c>
      <c r="D59" s="51">
        <f ca="1" t="shared" si="20"/>
      </c>
      <c r="E59" s="51">
        <f ca="1" t="shared" si="20"/>
      </c>
      <c r="F59" s="51">
        <f ca="1" t="shared" si="20"/>
      </c>
      <c r="G59" s="51">
        <f ca="1" t="shared" si="20"/>
      </c>
      <c r="H59" s="51">
        <f ca="1" t="shared" si="20"/>
      </c>
      <c r="I59" s="51">
        <f ca="1" t="shared" si="20"/>
      </c>
      <c r="J59" s="51">
        <f ca="1" t="shared" si="20"/>
      </c>
      <c r="K59" s="51">
        <f ca="1" t="shared" si="20"/>
        <v>0</v>
      </c>
      <c r="L59" s="51">
        <f ca="1" t="shared" si="20"/>
        <v>26</v>
      </c>
      <c r="M59" s="51">
        <v>26</v>
      </c>
      <c r="N59" s="51">
        <f ca="1" t="shared" si="24"/>
        <v>0</v>
      </c>
      <c r="O59" s="51">
        <f t="shared" si="23"/>
        <v>4</v>
      </c>
      <c r="Q59" s="51" t="e">
        <f ca="1" t="shared" si="25"/>
        <v>#N/A</v>
      </c>
      <c r="R59" s="51" t="e">
        <f ca="1" t="shared" si="25"/>
        <v>#N/A</v>
      </c>
      <c r="S59" s="51" t="e">
        <f ca="1" t="shared" si="25"/>
        <v>#N/A</v>
      </c>
      <c r="T59" s="51" t="e">
        <f ca="1" t="shared" si="25"/>
        <v>#N/A</v>
      </c>
      <c r="U59" s="51" t="e">
        <f ca="1" t="shared" si="25"/>
        <v>#N/A</v>
      </c>
      <c r="V59" s="51" t="e">
        <f ca="1" t="shared" si="25"/>
        <v>#N/A</v>
      </c>
      <c r="W59" s="51" t="e">
        <f ca="1" t="shared" si="25"/>
        <v>#N/A</v>
      </c>
    </row>
    <row r="60" spans="1:23" ht="12.75">
      <c r="A60" s="51">
        <f ca="1" t="shared" si="20"/>
        <v>13</v>
      </c>
      <c r="B60" s="51">
        <f ca="1" t="shared" si="20"/>
        <v>0</v>
      </c>
      <c r="C60" s="51" t="str">
        <f ca="1" t="shared" si="20"/>
        <v>-</v>
      </c>
      <c r="D60" s="51">
        <f ca="1" t="shared" si="20"/>
      </c>
      <c r="E60" s="51">
        <f ca="1" t="shared" si="20"/>
      </c>
      <c r="F60" s="51">
        <f ca="1" t="shared" si="20"/>
      </c>
      <c r="G60" s="51">
        <f ca="1" t="shared" si="20"/>
      </c>
      <c r="H60" s="51">
        <f ca="1" t="shared" si="20"/>
      </c>
      <c r="I60" s="51">
        <f ca="1" t="shared" si="20"/>
      </c>
      <c r="J60" s="51">
        <f ca="1" t="shared" si="20"/>
      </c>
      <c r="K60" s="51">
        <f ca="1" t="shared" si="20"/>
        <v>0</v>
      </c>
      <c r="L60" s="51">
        <f ca="1" t="shared" si="20"/>
        <v>26</v>
      </c>
      <c r="M60" s="51">
        <v>27</v>
      </c>
      <c r="N60" s="51">
        <f ca="1" t="shared" si="24"/>
        <v>0</v>
      </c>
      <c r="O60" s="51">
        <f t="shared" si="23"/>
        <v>13</v>
      </c>
      <c r="Q60" s="51" t="e">
        <f ca="1" t="shared" si="25"/>
        <v>#N/A</v>
      </c>
      <c r="R60" s="51" t="e">
        <f ca="1" t="shared" si="25"/>
        <v>#N/A</v>
      </c>
      <c r="S60" s="51" t="e">
        <f ca="1" t="shared" si="25"/>
        <v>#N/A</v>
      </c>
      <c r="T60" s="51" t="e">
        <f ca="1" t="shared" si="25"/>
        <v>#N/A</v>
      </c>
      <c r="U60" s="51" t="e">
        <f ca="1" t="shared" si="25"/>
        <v>#N/A</v>
      </c>
      <c r="V60" s="51" t="e">
        <f ca="1" t="shared" si="25"/>
        <v>#N/A</v>
      </c>
      <c r="W60" s="51" t="e">
        <f ca="1" t="shared" si="25"/>
        <v>#N/A</v>
      </c>
    </row>
    <row r="61" spans="1:23" ht="12.75">
      <c r="A61" s="51">
        <f ca="1" t="shared" si="20"/>
        <v>28</v>
      </c>
      <c r="B61" s="51">
        <f ca="1" t="shared" si="20"/>
        <v>0</v>
      </c>
      <c r="C61" s="51" t="str">
        <f ca="1" t="shared" si="20"/>
        <v>-</v>
      </c>
      <c r="D61" s="51">
        <f ca="1" t="shared" si="20"/>
      </c>
      <c r="E61" s="51">
        <f ca="1" t="shared" si="20"/>
      </c>
      <c r="F61" s="51">
        <f ca="1" t="shared" si="20"/>
      </c>
      <c r="G61" s="51">
        <f ca="1" t="shared" si="20"/>
      </c>
      <c r="H61" s="51">
        <f ca="1" t="shared" si="20"/>
      </c>
      <c r="I61" s="51">
        <f ca="1" t="shared" si="20"/>
      </c>
      <c r="J61" s="51">
        <f ca="1" t="shared" si="20"/>
      </c>
      <c r="K61" s="51">
        <f ca="1" t="shared" si="20"/>
        <v>0</v>
      </c>
      <c r="L61" s="51">
        <f ca="1" t="shared" si="20"/>
        <v>26</v>
      </c>
      <c r="M61" s="51">
        <v>28</v>
      </c>
      <c r="N61" s="51">
        <f ca="1" t="shared" si="24"/>
        <v>0</v>
      </c>
      <c r="O61" s="51">
        <f t="shared" si="23"/>
        <v>28</v>
      </c>
      <c r="Q61" s="51" t="e">
        <f ca="1" t="shared" si="25"/>
        <v>#N/A</v>
      </c>
      <c r="R61" s="51" t="e">
        <f ca="1" t="shared" si="25"/>
        <v>#N/A</v>
      </c>
      <c r="S61" s="51" t="e">
        <f ca="1" t="shared" si="25"/>
        <v>#N/A</v>
      </c>
      <c r="T61" s="51" t="e">
        <f ca="1" t="shared" si="25"/>
        <v>#N/A</v>
      </c>
      <c r="U61" s="51" t="e">
        <f ca="1" t="shared" si="25"/>
        <v>#N/A</v>
      </c>
      <c r="V61" s="51" t="e">
        <f ca="1" t="shared" si="25"/>
        <v>#N/A</v>
      </c>
      <c r="W61" s="51" t="e">
        <f ca="1" t="shared" si="25"/>
        <v>#N/A</v>
      </c>
    </row>
    <row r="62" spans="1:23" ht="12.75">
      <c r="A62" s="51">
        <f ca="1" t="shared" si="20"/>
        <v>29</v>
      </c>
      <c r="B62" s="51">
        <f ca="1" t="shared" si="20"/>
        <v>0</v>
      </c>
      <c r="C62" s="51" t="str">
        <f ca="1" t="shared" si="20"/>
        <v>-</v>
      </c>
      <c r="D62" s="51">
        <f ca="1" t="shared" si="20"/>
      </c>
      <c r="E62" s="51">
        <f ca="1" t="shared" si="20"/>
      </c>
      <c r="F62" s="51">
        <f ca="1" t="shared" si="20"/>
      </c>
      <c r="G62" s="51">
        <f ca="1" t="shared" si="20"/>
      </c>
      <c r="H62" s="51">
        <f ca="1" t="shared" si="20"/>
      </c>
      <c r="I62" s="51">
        <f ca="1" t="shared" si="20"/>
      </c>
      <c r="J62" s="51">
        <f ca="1" t="shared" si="20"/>
      </c>
      <c r="K62" s="51">
        <f ca="1" t="shared" si="20"/>
        <v>0</v>
      </c>
      <c r="L62" s="51">
        <f ca="1" t="shared" si="20"/>
        <v>26</v>
      </c>
      <c r="M62" s="51">
        <v>29</v>
      </c>
      <c r="N62" s="51">
        <f ca="1" t="shared" si="24"/>
        <v>0</v>
      </c>
      <c r="O62" s="51">
        <f t="shared" si="23"/>
        <v>29</v>
      </c>
      <c r="Q62" s="51" t="e">
        <f ca="1" t="shared" si="25"/>
        <v>#N/A</v>
      </c>
      <c r="R62" s="51" t="e">
        <f ca="1" t="shared" si="25"/>
        <v>#N/A</v>
      </c>
      <c r="S62" s="51" t="e">
        <f ca="1" t="shared" si="25"/>
        <v>#N/A</v>
      </c>
      <c r="T62" s="51" t="e">
        <f ca="1" t="shared" si="25"/>
        <v>#N/A</v>
      </c>
      <c r="U62" s="51" t="e">
        <f ca="1" t="shared" si="25"/>
        <v>#N/A</v>
      </c>
      <c r="V62" s="51" t="e">
        <f ca="1" t="shared" si="25"/>
        <v>#N/A</v>
      </c>
      <c r="W62" s="51" t="e">
        <f ca="1" t="shared" si="25"/>
        <v>#N/A</v>
      </c>
    </row>
    <row r="63" spans="1:23" ht="12.75">
      <c r="A63" s="51">
        <f ca="1" t="shared" si="20"/>
        <v>30</v>
      </c>
      <c r="B63" s="51">
        <f ca="1" t="shared" si="20"/>
        <v>0</v>
      </c>
      <c r="C63" s="51" t="str">
        <f ca="1" t="shared" si="20"/>
        <v>-</v>
      </c>
      <c r="D63" s="51">
        <f ca="1" t="shared" si="20"/>
      </c>
      <c r="E63" s="51">
        <f ca="1" t="shared" si="20"/>
      </c>
      <c r="F63" s="51">
        <f ca="1" t="shared" si="20"/>
      </c>
      <c r="G63" s="51">
        <f ca="1" t="shared" si="20"/>
      </c>
      <c r="H63" s="51">
        <f ca="1" t="shared" si="20"/>
      </c>
      <c r="I63" s="51">
        <f ca="1" t="shared" si="20"/>
      </c>
      <c r="J63" s="51">
        <f ca="1" t="shared" si="20"/>
      </c>
      <c r="K63" s="51">
        <f ca="1" t="shared" si="20"/>
        <v>0</v>
      </c>
      <c r="L63" s="51">
        <f ca="1" t="shared" si="20"/>
        <v>26</v>
      </c>
      <c r="M63" s="51">
        <v>30</v>
      </c>
      <c r="N63" s="51">
        <f ca="1" t="shared" si="24"/>
        <v>0</v>
      </c>
      <c r="O63" s="51">
        <f t="shared" si="23"/>
        <v>30</v>
      </c>
      <c r="Q63" s="51" t="e">
        <f ca="1" t="shared" si="25"/>
        <v>#N/A</v>
      </c>
      <c r="R63" s="51" t="e">
        <f ca="1" t="shared" si="25"/>
        <v>#N/A</v>
      </c>
      <c r="S63" s="51" t="e">
        <f ca="1" t="shared" si="25"/>
        <v>#N/A</v>
      </c>
      <c r="T63" s="51" t="e">
        <f ca="1" t="shared" si="25"/>
        <v>#N/A</v>
      </c>
      <c r="U63" s="51" t="e">
        <f ca="1" t="shared" si="25"/>
        <v>#N/A</v>
      </c>
      <c r="V63" s="51" t="e">
        <f ca="1" t="shared" si="25"/>
        <v>#N/A</v>
      </c>
      <c r="W63" s="51" t="e">
        <f ca="1" t="shared" si="25"/>
        <v>#N/A</v>
      </c>
    </row>
  </sheetData>
  <conditionalFormatting sqref="L2:M31 L34:M63">
    <cfRule type="cellIs" priority="1" dxfId="8" operator="equal" stopIfTrue="1">
      <formula>1</formula>
    </cfRule>
    <cfRule type="cellIs" priority="2" dxfId="4" operator="equal" stopIfTrue="1">
      <formula>2</formula>
    </cfRule>
    <cfRule type="cellIs" priority="3" dxfId="3" operator="equal" stopIfTrue="1">
      <formula>3</formula>
    </cfRule>
  </conditionalFormatting>
  <printOptions/>
  <pageMargins left="0.75" right="0.75" top="1" bottom="1" header="0.5" footer="0.5"/>
  <pageSetup horizontalDpi="600" verticalDpi="600" orientation="landscape" r:id="rId1"/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Robotics Learning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Putz</dc:creator>
  <cp:keywords/>
  <dc:description/>
  <cp:lastModifiedBy>Steve Putz</cp:lastModifiedBy>
  <cp:lastPrinted>2011-10-25T04:44:32Z</cp:lastPrinted>
  <dcterms:created xsi:type="dcterms:W3CDTF">2011-10-20T05:03:12Z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